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workbookProtection workbookAlgorithmName="SHA-512" workbookHashValue="xBwP9745TccUe2lGYUHBgnu9NvZjJ06XXpu3rkhATpv3Bwu4o5Qy8wpOxgZ/oo9TPfOj/7Jn+84Uq4mMgF9x/Q==" workbookSaltValue="JwpsNu8dy68/s11Jh7uU5g==" workbookSpinCount="100000" lockStructure="1"/>
  <bookViews>
    <workbookView xWindow="0" yWindow="0" windowWidth="28800" windowHeight="12300"/>
  </bookViews>
  <sheets>
    <sheet name="Introduction" sheetId="29" r:id="rId1"/>
    <sheet name="Step 1 &amp; Step 2 Event Details" sheetId="40" r:id="rId2"/>
    <sheet name="Steps 3 Bin Selection" sheetId="38" r:id="rId3"/>
    <sheet name="Step 4 Environmental Savings" sheetId="36" r:id="rId4"/>
    <sheet name="Event Dataset" sheetId="5" state="hidden" r:id="rId5"/>
    <sheet name="Better practice vs typical" sheetId="15" state="hidden" r:id="rId6"/>
    <sheet name="Drop Downs and Assumptions" sheetId="3" state="hidden" r:id="rId7"/>
    <sheet name="Environmental Savings Factors" sheetId="35" state="hidden" r:id="rId8"/>
  </sheets>
  <externalReferences>
    <externalReference r:id="rId9"/>
    <externalReference r:id="rId10"/>
  </externalReferences>
  <definedNames>
    <definedName name="_xlnm._FilterDatabase" localSheetId="4" hidden="1">'Event Dataset'!$A$3:$AG$3</definedName>
    <definedName name="data_accuracy">'[1]Compute Data'!$A$467:$D$473</definedName>
    <definedName name="FTE_2015">[1]FTEs!#REF!</definedName>
    <definedName name="FTE_Total_2015">[1]FTEs!#REF!</definedName>
    <definedName name="Industry_data_2">'[1]Industry Data 2'!$A$1:$HX$76</definedName>
    <definedName name="Materials_list">'[1]Compute Data'!$B$8:$D$46</definedName>
    <definedName name="sss">'[2]Compute Data'!$A$457:$D$462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9" i="40" l="1"/>
  <c r="I16" i="40"/>
  <c r="I13" i="40"/>
  <c r="N18" i="38"/>
  <c r="F25" i="38" s="1"/>
  <c r="F24" i="38" l="1"/>
  <c r="F27" i="38"/>
  <c r="F26" i="38"/>
  <c r="N29" i="38" l="1"/>
  <c r="Q29" i="38"/>
  <c r="T29" i="38"/>
  <c r="W38" i="38"/>
  <c r="W37" i="38"/>
  <c r="W36" i="38"/>
  <c r="W35" i="38"/>
  <c r="W34" i="38"/>
  <c r="W33" i="38"/>
  <c r="T38" i="38"/>
  <c r="T37" i="38"/>
  <c r="T36" i="38"/>
  <c r="T35" i="38"/>
  <c r="T34" i="38"/>
  <c r="T33" i="38"/>
  <c r="Q38" i="38"/>
  <c r="Q37" i="38"/>
  <c r="Q36" i="38"/>
  <c r="Q35" i="38"/>
  <c r="Q34" i="38"/>
  <c r="Q33" i="38"/>
  <c r="T28" i="38"/>
  <c r="T27" i="38"/>
  <c r="T26" i="38"/>
  <c r="T25" i="38"/>
  <c r="T24" i="38"/>
  <c r="Q28" i="38"/>
  <c r="Q27" i="38"/>
  <c r="Q26" i="38"/>
  <c r="Q25" i="38"/>
  <c r="Q24" i="38"/>
  <c r="N38" i="38"/>
  <c r="N37" i="38"/>
  <c r="N36" i="38"/>
  <c r="N35" i="38"/>
  <c r="N34" i="38"/>
  <c r="N33" i="38"/>
  <c r="N28" i="38"/>
  <c r="N27" i="38"/>
  <c r="N26" i="38"/>
  <c r="N25" i="38"/>
  <c r="N24" i="38"/>
  <c r="V29" i="38" l="1"/>
  <c r="O29" i="38"/>
  <c r="B38" i="38"/>
  <c r="B28" i="38"/>
  <c r="G35" i="29"/>
  <c r="D37" i="29"/>
  <c r="D36" i="29"/>
  <c r="D35" i="29"/>
  <c r="C15" i="36" l="1"/>
  <c r="C16" i="36"/>
  <c r="C17" i="36"/>
  <c r="C18" i="36"/>
  <c r="C19" i="36"/>
  <c r="C14" i="36"/>
  <c r="B15" i="36"/>
  <c r="B16" i="36"/>
  <c r="B17" i="36"/>
  <c r="B18" i="36"/>
  <c r="B19" i="36"/>
  <c r="B14" i="36"/>
  <c r="D79" i="38" l="1"/>
  <c r="D78" i="38"/>
  <c r="C55" i="38"/>
  <c r="B70" i="38"/>
  <c r="B83" i="38" s="1"/>
  <c r="B69" i="38"/>
  <c r="B82" i="38" s="1"/>
  <c r="F58" i="38"/>
  <c r="F57" i="38"/>
  <c r="F56" i="38"/>
  <c r="E57" i="38"/>
  <c r="E58" i="38"/>
  <c r="E56" i="38"/>
  <c r="F64" i="38" s="1"/>
  <c r="H64" i="38" l="1"/>
  <c r="G64" i="38"/>
  <c r="B55" i="38"/>
  <c r="C66" i="38"/>
  <c r="C65" i="38"/>
  <c r="C69" i="38" s="1"/>
  <c r="C70" i="38" l="1"/>
  <c r="I24" i="38" s="1"/>
  <c r="C79" i="38"/>
  <c r="C83" i="38" s="1"/>
  <c r="C78" i="38"/>
  <c r="C82" i="38" s="1"/>
  <c r="AI5" i="3"/>
  <c r="AI4" i="3"/>
  <c r="AI3" i="3"/>
  <c r="AI2" i="3"/>
  <c r="F19" i="38"/>
  <c r="I33" i="38" l="1"/>
  <c r="Z34" i="38"/>
  <c r="Z35" i="38"/>
  <c r="Z36" i="38"/>
  <c r="Z37" i="38"/>
  <c r="Z25" i="38"/>
  <c r="Z26" i="38"/>
  <c r="Z27" i="38"/>
  <c r="Y25" i="38" l="1"/>
  <c r="AA25" i="38" s="1"/>
  <c r="Y26" i="38"/>
  <c r="AA26" i="38" s="1"/>
  <c r="Y27" i="38"/>
  <c r="AA27" i="38" s="1"/>
  <c r="Y34" i="38"/>
  <c r="Y35" i="38"/>
  <c r="Y36" i="38"/>
  <c r="Y37" i="38"/>
  <c r="AA37" i="38" s="1"/>
  <c r="C10" i="3" l="1"/>
  <c r="O38" i="38" l="1"/>
  <c r="O37" i="38"/>
  <c r="O28" i="38"/>
  <c r="E17" i="40" l="1"/>
  <c r="N36" i="40" l="1"/>
  <c r="O37" i="40"/>
  <c r="N31" i="40"/>
  <c r="N27" i="40"/>
  <c r="N37" i="40"/>
  <c r="N30" i="40"/>
  <c r="N26" i="40"/>
  <c r="O36" i="40"/>
  <c r="O28" i="40" s="1"/>
  <c r="N29" i="40"/>
  <c r="D34" i="40"/>
  <c r="O26" i="40"/>
  <c r="I34" i="40"/>
  <c r="D19" i="40"/>
  <c r="L6" i="35"/>
  <c r="L7" i="35"/>
  <c r="L8" i="35"/>
  <c r="L9" i="35"/>
  <c r="L10" i="35"/>
  <c r="N28" i="40" l="1"/>
  <c r="N32" i="40" s="1"/>
  <c r="K26" i="35"/>
  <c r="K25" i="35"/>
  <c r="N25" i="35" s="1"/>
  <c r="P25" i="35" l="1"/>
  <c r="O25" i="35"/>
  <c r="M27" i="35" l="1"/>
  <c r="C53" i="38" l="1"/>
  <c r="C52" i="38"/>
  <c r="C51" i="38"/>
  <c r="C50" i="38"/>
  <c r="C49" i="38"/>
  <c r="C48" i="38"/>
  <c r="C47" i="38"/>
  <c r="C46" i="38"/>
  <c r="C45" i="38"/>
  <c r="C44" i="38"/>
  <c r="C43" i="38"/>
  <c r="C42" i="38"/>
  <c r="AA36" i="38"/>
  <c r="AA35" i="38"/>
  <c r="Z33" i="38"/>
  <c r="Y33" i="38"/>
  <c r="Z24" i="38"/>
  <c r="Y24" i="38"/>
  <c r="AA24" i="38" l="1"/>
  <c r="J52" i="38"/>
  <c r="J45" i="38"/>
  <c r="J49" i="38"/>
  <c r="J53" i="38"/>
  <c r="J42" i="38"/>
  <c r="J50" i="38"/>
  <c r="J43" i="38"/>
  <c r="J51" i="38"/>
  <c r="AA34" i="38"/>
  <c r="AA33" i="38"/>
  <c r="D47" i="38" l="1"/>
  <c r="H43" i="38"/>
  <c r="H51" i="38"/>
  <c r="F43" i="38"/>
  <c r="F52" i="38"/>
  <c r="I48" i="38"/>
  <c r="I43" i="38"/>
  <c r="H46" i="38"/>
  <c r="E43" i="38"/>
  <c r="E50" i="38"/>
  <c r="H42" i="38"/>
  <c r="F53" i="38"/>
  <c r="H45" i="38"/>
  <c r="G51" i="38"/>
  <c r="D43" i="38"/>
  <c r="I46" i="38"/>
  <c r="G45" i="38"/>
  <c r="G52" i="38"/>
  <c r="G50" i="38"/>
  <c r="E46" i="38"/>
  <c r="I42" i="38"/>
  <c r="H53" i="38"/>
  <c r="F49" i="38"/>
  <c r="F45" i="38"/>
  <c r="I52" i="38"/>
  <c r="H52" i="38"/>
  <c r="H44" i="38"/>
  <c r="H47" i="38"/>
  <c r="H49" i="38"/>
  <c r="I45" i="38"/>
  <c r="H48" i="38"/>
  <c r="I50" i="38"/>
  <c r="E42" i="38"/>
  <c r="G42" i="38"/>
  <c r="E53" i="38"/>
  <c r="E49" i="38"/>
  <c r="G49" i="38"/>
  <c r="E52" i="38"/>
  <c r="I44" i="38"/>
  <c r="E51" i="38"/>
  <c r="I47" i="38"/>
  <c r="F51" i="38"/>
  <c r="I51" i="38"/>
  <c r="G43" i="38"/>
  <c r="H50" i="38"/>
  <c r="F50" i="38"/>
  <c r="F46" i="38"/>
  <c r="D42" i="38"/>
  <c r="F42" i="38"/>
  <c r="I53" i="38"/>
  <c r="G53" i="38"/>
  <c r="I49" i="38"/>
  <c r="D45" i="38"/>
  <c r="E45" i="38"/>
  <c r="E48" i="38"/>
  <c r="F48" i="38"/>
  <c r="O5" i="35"/>
  <c r="P5" i="35"/>
  <c r="N5" i="35"/>
  <c r="J12" i="35"/>
  <c r="L11" i="35" s="1"/>
  <c r="L12" i="35" s="1"/>
  <c r="J16" i="35"/>
  <c r="K10" i="35" l="1"/>
  <c r="K24" i="35" s="1"/>
  <c r="K6" i="35"/>
  <c r="K20" i="35" s="1"/>
  <c r="K8" i="35"/>
  <c r="K22" i="35" s="1"/>
  <c r="K7" i="35"/>
  <c r="K21" i="35" s="1"/>
  <c r="N21" i="35" s="1"/>
  <c r="K9" i="35"/>
  <c r="K23" i="35" s="1"/>
  <c r="K27" i="35" l="1"/>
  <c r="N20" i="35"/>
  <c r="O21" i="35"/>
  <c r="P21" i="35"/>
  <c r="N22" i="35"/>
  <c r="O22" i="35"/>
  <c r="P22" i="35"/>
  <c r="O20" i="35"/>
  <c r="P20" i="35"/>
  <c r="P23" i="35"/>
  <c r="N23" i="35"/>
  <c r="O23" i="35"/>
  <c r="O24" i="35"/>
  <c r="P24" i="35"/>
  <c r="N24" i="35"/>
  <c r="M10" i="35"/>
  <c r="O10" i="35" s="1"/>
  <c r="M11" i="35"/>
  <c r="M6" i="35"/>
  <c r="N6" i="35" s="1"/>
  <c r="M12" i="35"/>
  <c r="M8" i="35"/>
  <c r="O8" i="35" s="1"/>
  <c r="M9" i="35"/>
  <c r="M7" i="35"/>
  <c r="N10" i="35" l="1"/>
  <c r="P6" i="35"/>
  <c r="O27" i="35"/>
  <c r="E45" i="35" s="1"/>
  <c r="N27" i="35"/>
  <c r="D45" i="35" s="1"/>
  <c r="O6" i="35"/>
  <c r="P10" i="35"/>
  <c r="P27" i="35"/>
  <c r="F45" i="35" s="1"/>
  <c r="P8" i="35"/>
  <c r="P7" i="35"/>
  <c r="N7" i="35"/>
  <c r="O7" i="35"/>
  <c r="N8" i="35"/>
  <c r="N9" i="35"/>
  <c r="P9" i="35"/>
  <c r="O9" i="35"/>
  <c r="O12" i="35" l="1"/>
  <c r="E44" i="35" s="1"/>
  <c r="P12" i="35"/>
  <c r="F44" i="35" s="1"/>
  <c r="N12" i="35"/>
  <c r="D44" i="35" s="1"/>
  <c r="H12" i="36" l="1"/>
  <c r="I12" i="36"/>
  <c r="G12" i="36"/>
  <c r="I13" i="36"/>
  <c r="H13" i="36"/>
  <c r="O17" i="36"/>
  <c r="N15" i="36"/>
  <c r="N16" i="36"/>
  <c r="N17" i="36"/>
  <c r="N18" i="36"/>
  <c r="N19" i="36"/>
  <c r="P18" i="36"/>
  <c r="O48" i="5"/>
  <c r="AD48" i="5"/>
  <c r="AE48" i="5" s="1"/>
  <c r="O49" i="5"/>
  <c r="AD49" i="5"/>
  <c r="AE49" i="5" s="1"/>
  <c r="O50" i="5"/>
  <c r="AD50" i="5"/>
  <c r="AE50" i="5" s="1"/>
  <c r="O51" i="5"/>
  <c r="AD51" i="5"/>
  <c r="O52" i="5"/>
  <c r="AD52" i="5"/>
  <c r="AE52" i="5" s="1"/>
  <c r="O53" i="5"/>
  <c r="AD53" i="5"/>
  <c r="AE53" i="5" s="1"/>
  <c r="O54" i="5"/>
  <c r="AD54" i="5"/>
  <c r="AG54" i="5" s="1"/>
  <c r="C54" i="5" s="1"/>
  <c r="O55" i="5"/>
  <c r="AD55" i="5"/>
  <c r="O56" i="5"/>
  <c r="AD56" i="5"/>
  <c r="AE56" i="5" s="1"/>
  <c r="O57" i="5"/>
  <c r="AD57" i="5"/>
  <c r="AE57" i="5" s="1"/>
  <c r="O58" i="5"/>
  <c r="AD58" i="5"/>
  <c r="AE58" i="5" s="1"/>
  <c r="O59" i="5"/>
  <c r="AD59" i="5"/>
  <c r="AE59" i="5" s="1"/>
  <c r="O60" i="5"/>
  <c r="AD60" i="5"/>
  <c r="AG60" i="5" s="1"/>
  <c r="C60" i="5" s="1"/>
  <c r="O61" i="5"/>
  <c r="AD61" i="5"/>
  <c r="AE61" i="5" s="1"/>
  <c r="O62" i="5"/>
  <c r="AD62" i="5"/>
  <c r="AF62" i="5" s="1"/>
  <c r="B62" i="5" s="1"/>
  <c r="O63" i="5"/>
  <c r="AD63" i="5"/>
  <c r="AE63" i="5" s="1"/>
  <c r="O64" i="5"/>
  <c r="AD64" i="5"/>
  <c r="O65" i="5"/>
  <c r="AD65" i="5"/>
  <c r="AE65" i="5" s="1"/>
  <c r="O66" i="5"/>
  <c r="AD66" i="5"/>
  <c r="AE66" i="5" s="1"/>
  <c r="O67" i="5"/>
  <c r="AD67" i="5"/>
  <c r="O68" i="5"/>
  <c r="AD68" i="5"/>
  <c r="AG68" i="5" s="1"/>
  <c r="C68" i="5" s="1"/>
  <c r="O69" i="5"/>
  <c r="AD69" i="5"/>
  <c r="AE69" i="5" s="1"/>
  <c r="O70" i="5"/>
  <c r="AD70" i="5"/>
  <c r="O71" i="5"/>
  <c r="AD71" i="5"/>
  <c r="AE71" i="5" s="1"/>
  <c r="O72" i="5"/>
  <c r="AD72" i="5"/>
  <c r="AG72" i="5" s="1"/>
  <c r="C72" i="5" s="1"/>
  <c r="O73" i="5"/>
  <c r="AD73" i="5"/>
  <c r="AE73" i="5" s="1"/>
  <c r="O74" i="5"/>
  <c r="AD74" i="5"/>
  <c r="AE74" i="5" s="1"/>
  <c r="O75" i="5"/>
  <c r="AD75" i="5"/>
  <c r="AE75" i="5" s="1"/>
  <c r="O76" i="5"/>
  <c r="AD76" i="5"/>
  <c r="AF76" i="5" s="1"/>
  <c r="B76" i="5" s="1"/>
  <c r="O77" i="5"/>
  <c r="AD77" i="5"/>
  <c r="AE77" i="5" s="1"/>
  <c r="O78" i="5"/>
  <c r="AD78" i="5"/>
  <c r="O79" i="5"/>
  <c r="AD79" i="5"/>
  <c r="AG79" i="5" s="1"/>
  <c r="C79" i="5" s="1"/>
  <c r="O80" i="5"/>
  <c r="AD80" i="5"/>
  <c r="O81" i="5"/>
  <c r="AD81" i="5"/>
  <c r="AF81" i="5" s="1"/>
  <c r="B81" i="5" s="1"/>
  <c r="O82" i="5"/>
  <c r="AD82" i="5"/>
  <c r="AE82" i="5" s="1"/>
  <c r="O83" i="5"/>
  <c r="AD83" i="5"/>
  <c r="AE83" i="5" s="1"/>
  <c r="O84" i="5"/>
  <c r="AD84" i="5"/>
  <c r="O85" i="5"/>
  <c r="AD85" i="5"/>
  <c r="AE85" i="5" s="1"/>
  <c r="O86" i="5"/>
  <c r="AD86" i="5"/>
  <c r="O87" i="5"/>
  <c r="AD87" i="5"/>
  <c r="AG87" i="5" s="1"/>
  <c r="C87" i="5" s="1"/>
  <c r="O88" i="5"/>
  <c r="AD88" i="5"/>
  <c r="O89" i="5"/>
  <c r="AD89" i="5"/>
  <c r="AE89" i="5" s="1"/>
  <c r="O90" i="5"/>
  <c r="AD90" i="5"/>
  <c r="AE90" i="5" s="1"/>
  <c r="O91" i="5"/>
  <c r="AD91" i="5"/>
  <c r="AG91" i="5" s="1"/>
  <c r="C91" i="5" s="1"/>
  <c r="O92" i="5"/>
  <c r="AD92" i="5"/>
  <c r="AF92" i="5" s="1"/>
  <c r="B92" i="5" s="1"/>
  <c r="O93" i="5"/>
  <c r="AD93" i="5"/>
  <c r="AG93" i="5" s="1"/>
  <c r="C93" i="5" s="1"/>
  <c r="O94" i="5"/>
  <c r="AD94" i="5"/>
  <c r="AF94" i="5" s="1"/>
  <c r="B94" i="5" s="1"/>
  <c r="O95" i="5"/>
  <c r="AD95" i="5"/>
  <c r="O96" i="5"/>
  <c r="AD96" i="5"/>
  <c r="AE96" i="5" s="1"/>
  <c r="O97" i="5"/>
  <c r="AD97" i="5"/>
  <c r="AE97" i="5" s="1"/>
  <c r="O98" i="5"/>
  <c r="AD98" i="5"/>
  <c r="AE98" i="5" s="1"/>
  <c r="O99" i="5"/>
  <c r="AD99" i="5"/>
  <c r="AG99" i="5" s="1"/>
  <c r="C99" i="5" s="1"/>
  <c r="O100" i="5"/>
  <c r="AD100" i="5"/>
  <c r="AF100" i="5" s="1"/>
  <c r="B100" i="5" s="1"/>
  <c r="O101" i="5"/>
  <c r="AD101" i="5"/>
  <c r="O102" i="5"/>
  <c r="AD102" i="5"/>
  <c r="AG102" i="5" s="1"/>
  <c r="C102" i="5" s="1"/>
  <c r="O103" i="5"/>
  <c r="AD103" i="5"/>
  <c r="AF103" i="5" s="1"/>
  <c r="B103" i="5" s="1"/>
  <c r="O104" i="5"/>
  <c r="AD104" i="5"/>
  <c r="AF104" i="5" s="1"/>
  <c r="B104" i="5" s="1"/>
  <c r="O105" i="5"/>
  <c r="AD105" i="5"/>
  <c r="AE105" i="5" s="1"/>
  <c r="O106" i="5"/>
  <c r="AD106" i="5"/>
  <c r="O107" i="5"/>
  <c r="AD107" i="5"/>
  <c r="AG107" i="5" s="1"/>
  <c r="C107" i="5" s="1"/>
  <c r="O108" i="5"/>
  <c r="AD108" i="5"/>
  <c r="O109" i="5"/>
  <c r="AD109" i="5"/>
  <c r="O110" i="5"/>
  <c r="AD110" i="5"/>
  <c r="AE110" i="5" s="1"/>
  <c r="O111" i="5"/>
  <c r="AD111" i="5"/>
  <c r="AG111" i="5" s="1"/>
  <c r="C111" i="5" s="1"/>
  <c r="O112" i="5"/>
  <c r="AD112" i="5"/>
  <c r="AF112" i="5" s="1"/>
  <c r="B112" i="5" s="1"/>
  <c r="O113" i="5"/>
  <c r="AD113" i="5"/>
  <c r="AE113" i="5" s="1"/>
  <c r="O114" i="5"/>
  <c r="AD114" i="5"/>
  <c r="O115" i="5"/>
  <c r="AD115" i="5"/>
  <c r="O116" i="5"/>
  <c r="AD116" i="5"/>
  <c r="O117" i="5"/>
  <c r="AD117" i="5"/>
  <c r="AE117" i="5" s="1"/>
  <c r="O118" i="5"/>
  <c r="AD118" i="5"/>
  <c r="AG118" i="5" s="1"/>
  <c r="C118" i="5" s="1"/>
  <c r="O119" i="5"/>
  <c r="AD119" i="5"/>
  <c r="AG119" i="5" s="1"/>
  <c r="C119" i="5" s="1"/>
  <c r="O120" i="5"/>
  <c r="AD120" i="5"/>
  <c r="AF120" i="5" s="1"/>
  <c r="B120" i="5" s="1"/>
  <c r="O121" i="5"/>
  <c r="AD121" i="5"/>
  <c r="AF121" i="5" s="1"/>
  <c r="B121" i="5" s="1"/>
  <c r="O122" i="5"/>
  <c r="AD122" i="5"/>
  <c r="AE122" i="5" s="1"/>
  <c r="O123" i="5"/>
  <c r="AD123" i="5"/>
  <c r="O124" i="5"/>
  <c r="AD124" i="5"/>
  <c r="O125" i="5"/>
  <c r="AD125" i="5"/>
  <c r="O126" i="5"/>
  <c r="AD126" i="5"/>
  <c r="O127" i="5"/>
  <c r="AD127" i="5"/>
  <c r="AE127" i="5" s="1"/>
  <c r="O128" i="5"/>
  <c r="AD128" i="5"/>
  <c r="O129" i="5"/>
  <c r="AD129" i="5"/>
  <c r="O130" i="5"/>
  <c r="AD130" i="5"/>
  <c r="AG130" i="5" s="1"/>
  <c r="C130" i="5" s="1"/>
  <c r="O131" i="5"/>
  <c r="AD131" i="5"/>
  <c r="AE131" i="5" s="1"/>
  <c r="O132" i="5"/>
  <c r="AD132" i="5"/>
  <c r="AG132" i="5" s="1"/>
  <c r="C132" i="5" s="1"/>
  <c r="O133" i="5"/>
  <c r="AD133" i="5"/>
  <c r="AF133" i="5" s="1"/>
  <c r="B133" i="5" s="1"/>
  <c r="O134" i="5"/>
  <c r="AD134" i="5"/>
  <c r="AE134" i="5" s="1"/>
  <c r="O135" i="5"/>
  <c r="AD135" i="5"/>
  <c r="O136" i="5"/>
  <c r="AD136" i="5"/>
  <c r="AE136" i="5" s="1"/>
  <c r="O137" i="5"/>
  <c r="AD137" i="5"/>
  <c r="O138" i="5"/>
  <c r="AD138" i="5"/>
  <c r="AG138" i="5" s="1"/>
  <c r="C138" i="5" s="1"/>
  <c r="O139" i="5"/>
  <c r="AD139" i="5"/>
  <c r="AG139" i="5" s="1"/>
  <c r="C139" i="5" s="1"/>
  <c r="O140" i="5"/>
  <c r="AD140" i="5"/>
  <c r="O141" i="5"/>
  <c r="AD141" i="5"/>
  <c r="AF141" i="5" s="1"/>
  <c r="B141" i="5" s="1"/>
  <c r="O142" i="5"/>
  <c r="AD142" i="5"/>
  <c r="O143" i="5"/>
  <c r="AD143" i="5"/>
  <c r="AE143" i="5" s="1"/>
  <c r="O144" i="5"/>
  <c r="AD144" i="5"/>
  <c r="O145" i="5"/>
  <c r="AD145" i="5"/>
  <c r="O146" i="5"/>
  <c r="AD146" i="5"/>
  <c r="AE146" i="5" s="1"/>
  <c r="O147" i="5"/>
  <c r="AD147" i="5"/>
  <c r="O148" i="5"/>
  <c r="AD148" i="5"/>
  <c r="O149" i="5"/>
  <c r="AD149" i="5"/>
  <c r="AF149" i="5" s="1"/>
  <c r="B149" i="5" s="1"/>
  <c r="O150" i="5"/>
  <c r="AD150" i="5"/>
  <c r="AE150" i="5" s="1"/>
  <c r="O151" i="5"/>
  <c r="AD151" i="5"/>
  <c r="AE151" i="5" s="1"/>
  <c r="O152" i="5"/>
  <c r="AD152" i="5"/>
  <c r="O153" i="5"/>
  <c r="AD153" i="5"/>
  <c r="AE153" i="5" s="1"/>
  <c r="O154" i="5"/>
  <c r="AD154" i="5"/>
  <c r="AG154" i="5" s="1"/>
  <c r="C154" i="5" s="1"/>
  <c r="O155" i="5"/>
  <c r="AD155" i="5"/>
  <c r="AG155" i="5" s="1"/>
  <c r="C155" i="5" s="1"/>
  <c r="O156" i="5"/>
  <c r="AD156" i="5"/>
  <c r="O157" i="5"/>
  <c r="AD157" i="5"/>
  <c r="AF157" i="5" s="1"/>
  <c r="B157" i="5" s="1"/>
  <c r="O158" i="5"/>
  <c r="AD158" i="5"/>
  <c r="AG158" i="5" s="1"/>
  <c r="C158" i="5" s="1"/>
  <c r="O159" i="5"/>
  <c r="AD159" i="5"/>
  <c r="AE159" i="5" s="1"/>
  <c r="O160" i="5"/>
  <c r="AD160" i="5"/>
  <c r="AF160" i="5" s="1"/>
  <c r="B160" i="5" s="1"/>
  <c r="O161" i="5"/>
  <c r="AD161" i="5"/>
  <c r="AE161" i="5" s="1"/>
  <c r="O162" i="5"/>
  <c r="AD162" i="5"/>
  <c r="AE162" i="5" s="1"/>
  <c r="O163" i="5"/>
  <c r="AD163" i="5"/>
  <c r="AG163" i="5" s="1"/>
  <c r="C163" i="5" s="1"/>
  <c r="O164" i="5"/>
  <c r="AD164" i="5"/>
  <c r="O165" i="5"/>
  <c r="AD165" i="5"/>
  <c r="AF165" i="5" s="1"/>
  <c r="B165" i="5" s="1"/>
  <c r="O166" i="5"/>
  <c r="AD166" i="5"/>
  <c r="AE166" i="5" s="1"/>
  <c r="O167" i="5"/>
  <c r="AD167" i="5"/>
  <c r="AE167" i="5" s="1"/>
  <c r="O168" i="5"/>
  <c r="AD168" i="5"/>
  <c r="O169" i="5"/>
  <c r="AD169" i="5"/>
  <c r="AG169" i="5" s="1"/>
  <c r="C169" i="5" s="1"/>
  <c r="O170" i="5"/>
  <c r="AD170" i="5"/>
  <c r="AF170" i="5" s="1"/>
  <c r="B170" i="5" s="1"/>
  <c r="O171" i="5"/>
  <c r="AD171" i="5"/>
  <c r="O172" i="5"/>
  <c r="AD172" i="5"/>
  <c r="AG172" i="5" s="1"/>
  <c r="C172" i="5" s="1"/>
  <c r="O173" i="5"/>
  <c r="AD173" i="5"/>
  <c r="O174" i="5"/>
  <c r="AD174" i="5"/>
  <c r="O175" i="5"/>
  <c r="AD175" i="5"/>
  <c r="AE175" i="5" s="1"/>
  <c r="O176" i="5"/>
  <c r="AD176" i="5"/>
  <c r="AE176" i="5" s="1"/>
  <c r="O177" i="5"/>
  <c r="AD177" i="5"/>
  <c r="AG177" i="5" s="1"/>
  <c r="C177" i="5" s="1"/>
  <c r="O178" i="5"/>
  <c r="AD178" i="5"/>
  <c r="AF178" i="5" s="1"/>
  <c r="B178" i="5" s="1"/>
  <c r="O179" i="5"/>
  <c r="AD179" i="5"/>
  <c r="O180" i="5"/>
  <c r="AD180" i="5"/>
  <c r="AG180" i="5" s="1"/>
  <c r="C180" i="5" s="1"/>
  <c r="O181" i="5"/>
  <c r="AD181" i="5"/>
  <c r="O182" i="5"/>
  <c r="AD182" i="5"/>
  <c r="O183" i="5"/>
  <c r="AD183" i="5"/>
  <c r="AE183" i="5" s="1"/>
  <c r="O184" i="5"/>
  <c r="AD184" i="5"/>
  <c r="AE184" i="5" s="1"/>
  <c r="O185" i="5"/>
  <c r="AD185" i="5"/>
  <c r="AG185" i="5" s="1"/>
  <c r="C185" i="5" s="1"/>
  <c r="O186" i="5"/>
  <c r="AD186" i="5"/>
  <c r="AE186" i="5" s="1"/>
  <c r="O187" i="5"/>
  <c r="AD187" i="5"/>
  <c r="O188" i="5"/>
  <c r="AD188" i="5"/>
  <c r="AG188" i="5" s="1"/>
  <c r="C188" i="5" s="1"/>
  <c r="O189" i="5"/>
  <c r="AD189" i="5"/>
  <c r="O190" i="5"/>
  <c r="AD190" i="5"/>
  <c r="AF190" i="5" s="1"/>
  <c r="B190" i="5" s="1"/>
  <c r="O191" i="5"/>
  <c r="AD191" i="5"/>
  <c r="AE191" i="5" s="1"/>
  <c r="O192" i="5"/>
  <c r="AD192" i="5"/>
  <c r="AE192" i="5" s="1"/>
  <c r="O193" i="5"/>
  <c r="AD193" i="5"/>
  <c r="AG193" i="5" s="1"/>
  <c r="C193" i="5" s="1"/>
  <c r="O194" i="5"/>
  <c r="AD194" i="5"/>
  <c r="AE194" i="5" s="1"/>
  <c r="O195" i="5"/>
  <c r="AD195" i="5"/>
  <c r="O196" i="5"/>
  <c r="AD196" i="5"/>
  <c r="AG196" i="5" s="1"/>
  <c r="C196" i="5" s="1"/>
  <c r="O197" i="5"/>
  <c r="AD197" i="5"/>
  <c r="O198" i="5"/>
  <c r="AD198" i="5"/>
  <c r="AF198" i="5" s="1"/>
  <c r="B198" i="5" s="1"/>
  <c r="O199" i="5"/>
  <c r="AD199" i="5"/>
  <c r="AE199" i="5" s="1"/>
  <c r="O200" i="5"/>
  <c r="AD200" i="5"/>
  <c r="O201" i="5"/>
  <c r="AD201" i="5"/>
  <c r="AG201" i="5" s="1"/>
  <c r="C201" i="5" s="1"/>
  <c r="O202" i="5"/>
  <c r="AD202" i="5"/>
  <c r="AF202" i="5" s="1"/>
  <c r="B202" i="5" s="1"/>
  <c r="O203" i="5"/>
  <c r="AD203" i="5"/>
  <c r="O204" i="5"/>
  <c r="AD204" i="5"/>
  <c r="AE204" i="5" s="1"/>
  <c r="O205" i="5"/>
  <c r="AD205" i="5"/>
  <c r="O206" i="5"/>
  <c r="AD206" i="5"/>
  <c r="O207" i="5"/>
  <c r="AD207" i="5"/>
  <c r="O208" i="5"/>
  <c r="AD208" i="5"/>
  <c r="AG208" i="5" s="1"/>
  <c r="C208" i="5" s="1"/>
  <c r="O209" i="5"/>
  <c r="AD209" i="5"/>
  <c r="O210" i="5"/>
  <c r="AD210" i="5"/>
  <c r="AF210" i="5" s="1"/>
  <c r="B210" i="5" s="1"/>
  <c r="O211" i="5"/>
  <c r="AD211" i="5"/>
  <c r="AG211" i="5" s="1"/>
  <c r="C211" i="5" s="1"/>
  <c r="O212" i="5"/>
  <c r="AD212" i="5"/>
  <c r="AF212" i="5" s="1"/>
  <c r="B212" i="5" s="1"/>
  <c r="O213" i="5"/>
  <c r="AD213" i="5"/>
  <c r="O214" i="5"/>
  <c r="AD214" i="5"/>
  <c r="O215" i="5"/>
  <c r="AD215" i="5"/>
  <c r="AG215" i="5" s="1"/>
  <c r="C215" i="5" s="1"/>
  <c r="O216" i="5"/>
  <c r="AD216" i="5"/>
  <c r="AG216" i="5" s="1"/>
  <c r="C216" i="5" s="1"/>
  <c r="O217" i="5"/>
  <c r="AD217" i="5"/>
  <c r="O218" i="5"/>
  <c r="AD218" i="5"/>
  <c r="AF218" i="5" s="1"/>
  <c r="B218" i="5" s="1"/>
  <c r="O219" i="5"/>
  <c r="AD219" i="5"/>
  <c r="AG219" i="5" s="1"/>
  <c r="C219" i="5" s="1"/>
  <c r="O220" i="5"/>
  <c r="AD220" i="5"/>
  <c r="AF220" i="5" s="1"/>
  <c r="B220" i="5" s="1"/>
  <c r="O221" i="5"/>
  <c r="AD221" i="5"/>
  <c r="O222" i="5"/>
  <c r="AD222" i="5"/>
  <c r="O223" i="5"/>
  <c r="AD223" i="5"/>
  <c r="AG223" i="5" s="1"/>
  <c r="C223" i="5" s="1"/>
  <c r="O224" i="5"/>
  <c r="AD224" i="5"/>
  <c r="O225" i="5"/>
  <c r="AD225" i="5"/>
  <c r="O226" i="5"/>
  <c r="AD226" i="5"/>
  <c r="AF226" i="5" s="1"/>
  <c r="B226" i="5" s="1"/>
  <c r="O227" i="5"/>
  <c r="AD227" i="5"/>
  <c r="AG227" i="5" s="1"/>
  <c r="C227" i="5" s="1"/>
  <c r="O228" i="5"/>
  <c r="AD228" i="5"/>
  <c r="AF228" i="5" s="1"/>
  <c r="B228" i="5" s="1"/>
  <c r="O229" i="5"/>
  <c r="AD229" i="5"/>
  <c r="O230" i="5"/>
  <c r="AD230" i="5"/>
  <c r="O231" i="5"/>
  <c r="AD231" i="5"/>
  <c r="AG231" i="5" s="1"/>
  <c r="C231" i="5" s="1"/>
  <c r="O232" i="5"/>
  <c r="AD232" i="5"/>
  <c r="AG232" i="5" s="1"/>
  <c r="C232" i="5" s="1"/>
  <c r="O233" i="5"/>
  <c r="AD233" i="5"/>
  <c r="O234" i="5"/>
  <c r="AD234" i="5"/>
  <c r="O235" i="5"/>
  <c r="AD235" i="5"/>
  <c r="AG235" i="5" s="1"/>
  <c r="C235" i="5" s="1"/>
  <c r="O236" i="5"/>
  <c r="AD236" i="5"/>
  <c r="AF236" i="5" s="1"/>
  <c r="B236" i="5" s="1"/>
  <c r="O237" i="5"/>
  <c r="AD237" i="5"/>
  <c r="O238" i="5"/>
  <c r="AD238" i="5"/>
  <c r="AF238" i="5" s="1"/>
  <c r="B238" i="5" s="1"/>
  <c r="O239" i="5"/>
  <c r="AD239" i="5"/>
  <c r="AG239" i="5" s="1"/>
  <c r="C239" i="5" s="1"/>
  <c r="O240" i="5"/>
  <c r="AD240" i="5"/>
  <c r="AE240" i="5" s="1"/>
  <c r="O241" i="5"/>
  <c r="AD241" i="5"/>
  <c r="O242" i="5"/>
  <c r="AD242" i="5"/>
  <c r="AF242" i="5" s="1"/>
  <c r="B242" i="5" s="1"/>
  <c r="O243" i="5"/>
  <c r="AD243" i="5"/>
  <c r="AG243" i="5" s="1"/>
  <c r="C243" i="5" s="1"/>
  <c r="O244" i="5"/>
  <c r="AD244" i="5"/>
  <c r="O245" i="5"/>
  <c r="AD245" i="5"/>
  <c r="O246" i="5"/>
  <c r="AD246" i="5"/>
  <c r="AF246" i="5" s="1"/>
  <c r="B246" i="5" s="1"/>
  <c r="O247" i="5"/>
  <c r="AD247" i="5"/>
  <c r="AG247" i="5" s="1"/>
  <c r="C247" i="5" s="1"/>
  <c r="O248" i="5"/>
  <c r="AD248" i="5"/>
  <c r="AG248" i="5" s="1"/>
  <c r="C248" i="5" s="1"/>
  <c r="O249" i="5"/>
  <c r="AD249" i="5"/>
  <c r="O250" i="5"/>
  <c r="AD250" i="5"/>
  <c r="O251" i="5"/>
  <c r="AD251" i="5"/>
  <c r="AG251" i="5" s="1"/>
  <c r="C251" i="5" s="1"/>
  <c r="O252" i="5"/>
  <c r="AD252" i="5"/>
  <c r="O253" i="5"/>
  <c r="AD253" i="5"/>
  <c r="O254" i="5"/>
  <c r="AD254" i="5"/>
  <c r="AF254" i="5" s="1"/>
  <c r="B254" i="5" s="1"/>
  <c r="O255" i="5"/>
  <c r="AD255" i="5"/>
  <c r="AG255" i="5" s="1"/>
  <c r="C255" i="5" s="1"/>
  <c r="O256" i="5"/>
  <c r="AD256" i="5"/>
  <c r="AE256" i="5" s="1"/>
  <c r="O257" i="5"/>
  <c r="AD257" i="5"/>
  <c r="O258" i="5"/>
  <c r="AD258" i="5"/>
  <c r="AF258" i="5" s="1"/>
  <c r="B258" i="5" s="1"/>
  <c r="O259" i="5"/>
  <c r="AD259" i="5"/>
  <c r="AG259" i="5" s="1"/>
  <c r="C259" i="5" s="1"/>
  <c r="O260" i="5"/>
  <c r="AD260" i="5"/>
  <c r="O261" i="5"/>
  <c r="AD261" i="5"/>
  <c r="AF261" i="5" s="1"/>
  <c r="B261" i="5" s="1"/>
  <c r="O262" i="5"/>
  <c r="AD262" i="5"/>
  <c r="AE262" i="5" s="1"/>
  <c r="O263" i="5"/>
  <c r="AD263" i="5"/>
  <c r="O264" i="5"/>
  <c r="AD264" i="5"/>
  <c r="O265" i="5"/>
  <c r="AD265" i="5"/>
  <c r="O266" i="5"/>
  <c r="AD266" i="5"/>
  <c r="AE266" i="5" s="1"/>
  <c r="O267" i="5"/>
  <c r="AD267" i="5"/>
  <c r="AF267" i="5" s="1"/>
  <c r="B267" i="5" s="1"/>
  <c r="O268" i="5"/>
  <c r="AD268" i="5"/>
  <c r="AF268" i="5" s="1"/>
  <c r="B268" i="5" s="1"/>
  <c r="O269" i="5"/>
  <c r="AD269" i="5"/>
  <c r="AF269" i="5" s="1"/>
  <c r="B269" i="5" s="1"/>
  <c r="O270" i="5"/>
  <c r="AD270" i="5"/>
  <c r="AE270" i="5" s="1"/>
  <c r="O271" i="5"/>
  <c r="AD271" i="5"/>
  <c r="AG271" i="5" s="1"/>
  <c r="C271" i="5" s="1"/>
  <c r="O272" i="5"/>
  <c r="AD272" i="5"/>
  <c r="AF272" i="5" s="1"/>
  <c r="B272" i="5" s="1"/>
  <c r="O273" i="5"/>
  <c r="AD273" i="5"/>
  <c r="O274" i="5"/>
  <c r="AD274" i="5"/>
  <c r="AF274" i="5" s="1"/>
  <c r="B274" i="5" s="1"/>
  <c r="O275" i="5"/>
  <c r="AD275" i="5"/>
  <c r="O276" i="5"/>
  <c r="AD276" i="5"/>
  <c r="AF276" i="5" s="1"/>
  <c r="B276" i="5" s="1"/>
  <c r="O277" i="5"/>
  <c r="AD277" i="5"/>
  <c r="O278" i="5"/>
  <c r="AD278" i="5"/>
  <c r="AE278" i="5" s="1"/>
  <c r="O279" i="5"/>
  <c r="AD279" i="5"/>
  <c r="AG279" i="5" s="1"/>
  <c r="C279" i="5" s="1"/>
  <c r="O280" i="5"/>
  <c r="AD280" i="5"/>
  <c r="O281" i="5"/>
  <c r="AD281" i="5"/>
  <c r="O282" i="5"/>
  <c r="AD282" i="5"/>
  <c r="O283" i="5"/>
  <c r="AD283" i="5"/>
  <c r="O284" i="5"/>
  <c r="AD284" i="5"/>
  <c r="AF284" i="5" s="1"/>
  <c r="B284" i="5" s="1"/>
  <c r="O285" i="5"/>
  <c r="AD285" i="5"/>
  <c r="O286" i="5"/>
  <c r="AD286" i="5"/>
  <c r="O287" i="5"/>
  <c r="AD287" i="5"/>
  <c r="AG287" i="5" s="1"/>
  <c r="C287" i="5" s="1"/>
  <c r="O288" i="5"/>
  <c r="AD288" i="5"/>
  <c r="AF288" i="5" s="1"/>
  <c r="B288" i="5" s="1"/>
  <c r="O289" i="5"/>
  <c r="AD289" i="5"/>
  <c r="O290" i="5"/>
  <c r="AD290" i="5"/>
  <c r="AE290" i="5" s="1"/>
  <c r="O291" i="5"/>
  <c r="AD291" i="5"/>
  <c r="O292" i="5"/>
  <c r="AD292" i="5"/>
  <c r="AF292" i="5" s="1"/>
  <c r="B292" i="5" s="1"/>
  <c r="O293" i="5"/>
  <c r="AD293" i="5"/>
  <c r="AE293" i="5" s="1"/>
  <c r="O294" i="5"/>
  <c r="AD294" i="5"/>
  <c r="AE294" i="5" s="1"/>
  <c r="O295" i="5"/>
  <c r="AD295" i="5"/>
  <c r="O296" i="5"/>
  <c r="AD296" i="5"/>
  <c r="AG296" i="5" s="1"/>
  <c r="C296" i="5" s="1"/>
  <c r="O297" i="5"/>
  <c r="AD297" i="5"/>
  <c r="O298" i="5"/>
  <c r="AD298" i="5"/>
  <c r="AG298" i="5" s="1"/>
  <c r="C298" i="5" s="1"/>
  <c r="O299" i="5"/>
  <c r="AD299" i="5"/>
  <c r="O300" i="5"/>
  <c r="AD300" i="5"/>
  <c r="O301" i="5"/>
  <c r="AD301" i="5"/>
  <c r="O302" i="5"/>
  <c r="AD302" i="5"/>
  <c r="AE302" i="5" s="1"/>
  <c r="O303" i="5"/>
  <c r="AD303" i="5"/>
  <c r="O304" i="5"/>
  <c r="AD304" i="5"/>
  <c r="AG304" i="5" s="1"/>
  <c r="C304" i="5" s="1"/>
  <c r="O305" i="5"/>
  <c r="AD305" i="5"/>
  <c r="O306" i="5"/>
  <c r="AD306" i="5"/>
  <c r="O307" i="5"/>
  <c r="AD307" i="5"/>
  <c r="O308" i="5"/>
  <c r="AD308" i="5"/>
  <c r="AF308" i="5" s="1"/>
  <c r="B308" i="5" s="1"/>
  <c r="O309" i="5"/>
  <c r="AD309" i="5"/>
  <c r="AE309" i="5" s="1"/>
  <c r="O310" i="5"/>
  <c r="AD310" i="5"/>
  <c r="AE310" i="5" s="1"/>
  <c r="O311" i="5"/>
  <c r="AD311" i="5"/>
  <c r="O312" i="5"/>
  <c r="AD312" i="5"/>
  <c r="AG312" i="5" s="1"/>
  <c r="C312" i="5" s="1"/>
  <c r="O313" i="5"/>
  <c r="AD313" i="5"/>
  <c r="O314" i="5"/>
  <c r="AD314" i="5"/>
  <c r="AG314" i="5" s="1"/>
  <c r="C314" i="5" s="1"/>
  <c r="O315" i="5"/>
  <c r="AD315" i="5"/>
  <c r="O316" i="5"/>
  <c r="AD316" i="5"/>
  <c r="AF316" i="5" s="1"/>
  <c r="B316" i="5" s="1"/>
  <c r="O317" i="5"/>
  <c r="AD317" i="5"/>
  <c r="AG317" i="5" s="1"/>
  <c r="C317" i="5" s="1"/>
  <c r="O318" i="5"/>
  <c r="AD318" i="5"/>
  <c r="AG318" i="5" s="1"/>
  <c r="C318" i="5" s="1"/>
  <c r="O319" i="5"/>
  <c r="AD319" i="5"/>
  <c r="O320" i="5"/>
  <c r="AD320" i="5"/>
  <c r="AE320" i="5" s="1"/>
  <c r="O321" i="5"/>
  <c r="AD321" i="5"/>
  <c r="AG321" i="5" s="1"/>
  <c r="C321" i="5" s="1"/>
  <c r="O322" i="5"/>
  <c r="AD322" i="5"/>
  <c r="AG322" i="5" s="1"/>
  <c r="C322" i="5" s="1"/>
  <c r="O323" i="5"/>
  <c r="AD323" i="5"/>
  <c r="O324" i="5"/>
  <c r="AD324" i="5"/>
  <c r="AG324" i="5" s="1"/>
  <c r="C324" i="5" s="1"/>
  <c r="O325" i="5"/>
  <c r="AD325" i="5"/>
  <c r="O326" i="5"/>
  <c r="AD326" i="5"/>
  <c r="O327" i="5"/>
  <c r="AD327" i="5"/>
  <c r="O328" i="5"/>
  <c r="AD328" i="5"/>
  <c r="AG328" i="5" s="1"/>
  <c r="C328" i="5" s="1"/>
  <c r="O329" i="5"/>
  <c r="AD329" i="5"/>
  <c r="O330" i="5"/>
  <c r="AD330" i="5"/>
  <c r="AF330" i="5" s="1"/>
  <c r="B330" i="5" s="1"/>
  <c r="O331" i="5"/>
  <c r="AD331" i="5"/>
  <c r="O332" i="5"/>
  <c r="AD332" i="5"/>
  <c r="AG332" i="5" s="1"/>
  <c r="C332" i="5" s="1"/>
  <c r="O333" i="5"/>
  <c r="AD333" i="5"/>
  <c r="AG333" i="5" s="1"/>
  <c r="C333" i="5" s="1"/>
  <c r="O334" i="5"/>
  <c r="AD334" i="5"/>
  <c r="AF334" i="5" s="1"/>
  <c r="B334" i="5" s="1"/>
  <c r="O335" i="5"/>
  <c r="AD335" i="5"/>
  <c r="O336" i="5"/>
  <c r="AD336" i="5"/>
  <c r="AF336" i="5" s="1"/>
  <c r="B336" i="5" s="1"/>
  <c r="O337" i="5"/>
  <c r="AD337" i="5"/>
  <c r="AG337" i="5" s="1"/>
  <c r="C337" i="5" s="1"/>
  <c r="O338" i="5"/>
  <c r="AD338" i="5"/>
  <c r="O339" i="5"/>
  <c r="AD339" i="5"/>
  <c r="O340" i="5"/>
  <c r="AD340" i="5"/>
  <c r="O341" i="5"/>
  <c r="AD341" i="5"/>
  <c r="AG341" i="5" s="1"/>
  <c r="C341" i="5" s="1"/>
  <c r="O342" i="5"/>
  <c r="AD342" i="5"/>
  <c r="AE342" i="5" s="1"/>
  <c r="O343" i="5"/>
  <c r="AD343" i="5"/>
  <c r="O344" i="5"/>
  <c r="AD344" i="5"/>
  <c r="AE344" i="5" s="1"/>
  <c r="O345" i="5"/>
  <c r="AD345" i="5"/>
  <c r="AG345" i="5" s="1"/>
  <c r="C345" i="5" s="1"/>
  <c r="O346" i="5"/>
  <c r="AD346" i="5"/>
  <c r="AE346" i="5" s="1"/>
  <c r="O347" i="5"/>
  <c r="AD347" i="5"/>
  <c r="O348" i="5"/>
  <c r="AD348" i="5"/>
  <c r="AE348" i="5" s="1"/>
  <c r="O349" i="5"/>
  <c r="AD349" i="5"/>
  <c r="AG349" i="5" s="1"/>
  <c r="C349" i="5" s="1"/>
  <c r="O350" i="5"/>
  <c r="AD350" i="5"/>
  <c r="AG350" i="5" s="1"/>
  <c r="C350" i="5" s="1"/>
  <c r="O351" i="5"/>
  <c r="AD351" i="5"/>
  <c r="O352" i="5"/>
  <c r="AD352" i="5"/>
  <c r="AG352" i="5" s="1"/>
  <c r="C352" i="5" s="1"/>
  <c r="O353" i="5"/>
  <c r="AD353" i="5"/>
  <c r="AG353" i="5" s="1"/>
  <c r="C353" i="5" s="1"/>
  <c r="O354" i="5"/>
  <c r="AD354" i="5"/>
  <c r="O355" i="5"/>
  <c r="AD355" i="5"/>
  <c r="O356" i="5"/>
  <c r="AD356" i="5"/>
  <c r="AG356" i="5" s="1"/>
  <c r="C356" i="5" s="1"/>
  <c r="O357" i="5"/>
  <c r="AD357" i="5"/>
  <c r="O358" i="5"/>
  <c r="AD358" i="5"/>
  <c r="AF358" i="5" s="1"/>
  <c r="B358" i="5" s="1"/>
  <c r="O359" i="5"/>
  <c r="AD359" i="5"/>
  <c r="O360" i="5"/>
  <c r="AD360" i="5"/>
  <c r="AF360" i="5" s="1"/>
  <c r="B360" i="5" s="1"/>
  <c r="O361" i="5"/>
  <c r="AD361" i="5"/>
  <c r="AG361" i="5" s="1"/>
  <c r="C361" i="5" s="1"/>
  <c r="O362" i="5"/>
  <c r="AD362" i="5"/>
  <c r="O363" i="5"/>
  <c r="AD363" i="5"/>
  <c r="O364" i="5"/>
  <c r="AD364" i="5"/>
  <c r="O365" i="5"/>
  <c r="AD365" i="5"/>
  <c r="O366" i="5"/>
  <c r="AD366" i="5"/>
  <c r="AF366" i="5" s="1"/>
  <c r="B366" i="5" s="1"/>
  <c r="O367" i="5"/>
  <c r="AD367" i="5"/>
  <c r="O368" i="5"/>
  <c r="AD368" i="5"/>
  <c r="AF368" i="5" s="1"/>
  <c r="B368" i="5" s="1"/>
  <c r="O369" i="5"/>
  <c r="AD369" i="5"/>
  <c r="O370" i="5"/>
  <c r="AD370" i="5"/>
  <c r="AF370" i="5" s="1"/>
  <c r="B370" i="5" s="1"/>
  <c r="O371" i="5"/>
  <c r="AD371" i="5"/>
  <c r="O372" i="5"/>
  <c r="AD372" i="5"/>
  <c r="AE372" i="5" s="1"/>
  <c r="O373" i="5"/>
  <c r="AD373" i="5"/>
  <c r="AG373" i="5" s="1"/>
  <c r="C373" i="5" s="1"/>
  <c r="O374" i="5"/>
  <c r="AD374" i="5"/>
  <c r="O375" i="5"/>
  <c r="AD375" i="5"/>
  <c r="O376" i="5"/>
  <c r="AD376" i="5"/>
  <c r="AG376" i="5" s="1"/>
  <c r="C376" i="5" s="1"/>
  <c r="O377" i="5"/>
  <c r="AD377" i="5"/>
  <c r="AG377" i="5" s="1"/>
  <c r="C377" i="5" s="1"/>
  <c r="O378" i="5"/>
  <c r="AD378" i="5"/>
  <c r="AF378" i="5" s="1"/>
  <c r="B378" i="5" s="1"/>
  <c r="O379" i="5"/>
  <c r="AD379" i="5"/>
  <c r="O380" i="5"/>
  <c r="AD380" i="5"/>
  <c r="AG380" i="5" s="1"/>
  <c r="C380" i="5" s="1"/>
  <c r="O381" i="5"/>
  <c r="AD381" i="5"/>
  <c r="AG381" i="5" s="1"/>
  <c r="C381" i="5" s="1"/>
  <c r="O382" i="5"/>
  <c r="AD382" i="5"/>
  <c r="AF382" i="5" s="1"/>
  <c r="B382" i="5" s="1"/>
  <c r="O383" i="5"/>
  <c r="AD383" i="5"/>
  <c r="O384" i="5"/>
  <c r="AD384" i="5"/>
  <c r="AE384" i="5" s="1"/>
  <c r="O385" i="5"/>
  <c r="AD385" i="5"/>
  <c r="AG385" i="5" s="1"/>
  <c r="C385" i="5" s="1"/>
  <c r="O386" i="5"/>
  <c r="AD386" i="5"/>
  <c r="AF386" i="5" s="1"/>
  <c r="B386" i="5" s="1"/>
  <c r="O387" i="5"/>
  <c r="AD387" i="5"/>
  <c r="AF387" i="5" s="1"/>
  <c r="B387" i="5" s="1"/>
  <c r="O388" i="5"/>
  <c r="AD388" i="5"/>
  <c r="O389" i="5"/>
  <c r="AD389" i="5"/>
  <c r="O390" i="5"/>
  <c r="AD390" i="5"/>
  <c r="AF390" i="5" s="1"/>
  <c r="B390" i="5" s="1"/>
  <c r="O391" i="5"/>
  <c r="AD391" i="5"/>
  <c r="O392" i="5"/>
  <c r="AD392" i="5"/>
  <c r="O393" i="5"/>
  <c r="AD393" i="5"/>
  <c r="AF393" i="5" s="1"/>
  <c r="B393" i="5" s="1"/>
  <c r="O394" i="5"/>
  <c r="AD394" i="5"/>
  <c r="AF394" i="5" s="1"/>
  <c r="B394" i="5" s="1"/>
  <c r="O395" i="5"/>
  <c r="AD395" i="5"/>
  <c r="AF395" i="5" s="1"/>
  <c r="B395" i="5" s="1"/>
  <c r="O396" i="5"/>
  <c r="AD396" i="5"/>
  <c r="AG396" i="5" s="1"/>
  <c r="C396" i="5" s="1"/>
  <c r="O397" i="5"/>
  <c r="AD397" i="5"/>
  <c r="AF397" i="5" s="1"/>
  <c r="B397" i="5" s="1"/>
  <c r="O398" i="5"/>
  <c r="AD398" i="5"/>
  <c r="AE398" i="5" s="1"/>
  <c r="O399" i="5"/>
  <c r="AD399" i="5"/>
  <c r="AF399" i="5" s="1"/>
  <c r="B399" i="5" s="1"/>
  <c r="O400" i="5"/>
  <c r="AD400" i="5"/>
  <c r="O401" i="5"/>
  <c r="AD401" i="5"/>
  <c r="AF401" i="5" s="1"/>
  <c r="B401" i="5" s="1"/>
  <c r="O402" i="5"/>
  <c r="AD402" i="5"/>
  <c r="AG402" i="5" s="1"/>
  <c r="C402" i="5" s="1"/>
  <c r="O403" i="5"/>
  <c r="AD403" i="5"/>
  <c r="AF403" i="5" s="1"/>
  <c r="B403" i="5" s="1"/>
  <c r="O404" i="5"/>
  <c r="AD404" i="5"/>
  <c r="AG404" i="5" s="1"/>
  <c r="C404" i="5" s="1"/>
  <c r="O405" i="5"/>
  <c r="AD405" i="5"/>
  <c r="O406" i="5"/>
  <c r="AD406" i="5"/>
  <c r="AG406" i="5" s="1"/>
  <c r="C406" i="5" s="1"/>
  <c r="O407" i="5"/>
  <c r="AD407" i="5"/>
  <c r="O408" i="5"/>
  <c r="AD408" i="5"/>
  <c r="AG408" i="5" s="1"/>
  <c r="C408" i="5" s="1"/>
  <c r="O409" i="5"/>
  <c r="AD409" i="5"/>
  <c r="O410" i="5"/>
  <c r="AD410" i="5"/>
  <c r="AF410" i="5" s="1"/>
  <c r="B410" i="5" s="1"/>
  <c r="O411" i="5"/>
  <c r="AD411" i="5"/>
  <c r="AE411" i="5" s="1"/>
  <c r="O412" i="5"/>
  <c r="AD412" i="5"/>
  <c r="AF412" i="5" s="1"/>
  <c r="B412" i="5" s="1"/>
  <c r="O413" i="5"/>
  <c r="AD413" i="5"/>
  <c r="AG413" i="5" s="1"/>
  <c r="C413" i="5" s="1"/>
  <c r="O414" i="5"/>
  <c r="AD414" i="5"/>
  <c r="O415" i="5"/>
  <c r="AD415" i="5"/>
  <c r="AG415" i="5" s="1"/>
  <c r="C415" i="5" s="1"/>
  <c r="O416" i="5"/>
  <c r="AD416" i="5"/>
  <c r="AG416" i="5" s="1"/>
  <c r="C416" i="5" s="1"/>
  <c r="O417" i="5"/>
  <c r="AD417" i="5"/>
  <c r="AG417" i="5" s="1"/>
  <c r="C417" i="5" s="1"/>
  <c r="O418" i="5"/>
  <c r="AD418" i="5"/>
  <c r="O419" i="5"/>
  <c r="AD419" i="5"/>
  <c r="AE419" i="5" s="1"/>
  <c r="O420" i="5"/>
  <c r="AD420" i="5"/>
  <c r="AE420" i="5" s="1"/>
  <c r="O421" i="5"/>
  <c r="AD421" i="5"/>
  <c r="AG421" i="5" s="1"/>
  <c r="C421" i="5" s="1"/>
  <c r="O422" i="5"/>
  <c r="AD422" i="5"/>
  <c r="O423" i="5"/>
  <c r="AD423" i="5"/>
  <c r="O424" i="5"/>
  <c r="AD424" i="5"/>
  <c r="AF424" i="5" s="1"/>
  <c r="B424" i="5" s="1"/>
  <c r="O425" i="5"/>
  <c r="AD425" i="5"/>
  <c r="AE425" i="5" s="1"/>
  <c r="O426" i="5"/>
  <c r="AD426" i="5"/>
  <c r="AG426" i="5" s="1"/>
  <c r="C426" i="5" s="1"/>
  <c r="O427" i="5"/>
  <c r="AD427" i="5"/>
  <c r="AE427" i="5" s="1"/>
  <c r="O428" i="5"/>
  <c r="AD428" i="5"/>
  <c r="AF428" i="5" s="1"/>
  <c r="B428" i="5" s="1"/>
  <c r="O429" i="5"/>
  <c r="AD429" i="5"/>
  <c r="AG429" i="5" s="1"/>
  <c r="C429" i="5" s="1"/>
  <c r="O430" i="5"/>
  <c r="AD430" i="5"/>
  <c r="AF430" i="5" s="1"/>
  <c r="B430" i="5" s="1"/>
  <c r="O431" i="5"/>
  <c r="AD431" i="5"/>
  <c r="AE431" i="5" s="1"/>
  <c r="O432" i="5"/>
  <c r="AD432" i="5"/>
  <c r="AE432" i="5" s="1"/>
  <c r="O433" i="5"/>
  <c r="AD433" i="5"/>
  <c r="O434" i="5"/>
  <c r="AD434" i="5"/>
  <c r="AF434" i="5" s="1"/>
  <c r="B434" i="5" s="1"/>
  <c r="O435" i="5"/>
  <c r="AD435" i="5"/>
  <c r="AE435" i="5" s="1"/>
  <c r="O436" i="5"/>
  <c r="AD436" i="5"/>
  <c r="AG436" i="5" s="1"/>
  <c r="C436" i="5" s="1"/>
  <c r="O437" i="5"/>
  <c r="AD437" i="5"/>
  <c r="AG437" i="5" s="1"/>
  <c r="C437" i="5" s="1"/>
  <c r="O438" i="5"/>
  <c r="AD438" i="5"/>
  <c r="AF438" i="5" s="1"/>
  <c r="B438" i="5" s="1"/>
  <c r="O439" i="5"/>
  <c r="AD439" i="5"/>
  <c r="AF439" i="5" s="1"/>
  <c r="B439" i="5" s="1"/>
  <c r="O440" i="5"/>
  <c r="AD440" i="5"/>
  <c r="AF440" i="5" s="1"/>
  <c r="B440" i="5" s="1"/>
  <c r="O441" i="5"/>
  <c r="AD441" i="5"/>
  <c r="AG441" i="5" s="1"/>
  <c r="C441" i="5" s="1"/>
  <c r="O442" i="5"/>
  <c r="AD442" i="5"/>
  <c r="AE442" i="5" s="1"/>
  <c r="O443" i="5"/>
  <c r="AD443" i="5"/>
  <c r="AE443" i="5" s="1"/>
  <c r="O444" i="5"/>
  <c r="AD444" i="5"/>
  <c r="AE444" i="5" s="1"/>
  <c r="O445" i="5"/>
  <c r="AD445" i="5"/>
  <c r="AG445" i="5" s="1"/>
  <c r="C445" i="5" s="1"/>
  <c r="O446" i="5"/>
  <c r="AD446" i="5"/>
  <c r="O447" i="5"/>
  <c r="AD447" i="5"/>
  <c r="AG447" i="5" s="1"/>
  <c r="C447" i="5" s="1"/>
  <c r="O448" i="5"/>
  <c r="AD448" i="5"/>
  <c r="AG448" i="5" s="1"/>
  <c r="C448" i="5" s="1"/>
  <c r="O449" i="5"/>
  <c r="AD449" i="5"/>
  <c r="AG449" i="5" s="1"/>
  <c r="C449" i="5" s="1"/>
  <c r="O450" i="5"/>
  <c r="AD450" i="5"/>
  <c r="AE450" i="5" s="1"/>
  <c r="O451" i="5"/>
  <c r="AD451" i="5"/>
  <c r="AE451" i="5" s="1"/>
  <c r="O452" i="5"/>
  <c r="AD452" i="5"/>
  <c r="AE452" i="5" s="1"/>
  <c r="O453" i="5"/>
  <c r="AD453" i="5"/>
  <c r="AG453" i="5" s="1"/>
  <c r="C453" i="5" s="1"/>
  <c r="O454" i="5"/>
  <c r="AD454" i="5"/>
  <c r="AF454" i="5" s="1"/>
  <c r="B454" i="5" s="1"/>
  <c r="O455" i="5"/>
  <c r="AD455" i="5"/>
  <c r="AE455" i="5" s="1"/>
  <c r="O456" i="5"/>
  <c r="AD456" i="5"/>
  <c r="AF456" i="5" s="1"/>
  <c r="B456" i="5" s="1"/>
  <c r="O457" i="5"/>
  <c r="AD457" i="5"/>
  <c r="AE457" i="5" s="1"/>
  <c r="O458" i="5"/>
  <c r="AD458" i="5"/>
  <c r="AG458" i="5" s="1"/>
  <c r="C458" i="5" s="1"/>
  <c r="O459" i="5"/>
  <c r="AD459" i="5"/>
  <c r="AE459" i="5" s="1"/>
  <c r="O460" i="5"/>
  <c r="AD460" i="5"/>
  <c r="AF460" i="5" s="1"/>
  <c r="B460" i="5" s="1"/>
  <c r="O461" i="5"/>
  <c r="AD461" i="5"/>
  <c r="AG461" i="5" s="1"/>
  <c r="C461" i="5" s="1"/>
  <c r="O462" i="5"/>
  <c r="AD462" i="5"/>
  <c r="O463" i="5"/>
  <c r="AD463" i="5"/>
  <c r="AG463" i="5" s="1"/>
  <c r="C463" i="5" s="1"/>
  <c r="O464" i="5"/>
  <c r="AD464" i="5"/>
  <c r="AE464" i="5" s="1"/>
  <c r="O465" i="5"/>
  <c r="AD465" i="5"/>
  <c r="AF465" i="5" s="1"/>
  <c r="B465" i="5" s="1"/>
  <c r="O466" i="5"/>
  <c r="AD466" i="5"/>
  <c r="O467" i="5"/>
  <c r="AD467" i="5"/>
  <c r="AE467" i="5" s="1"/>
  <c r="O468" i="5"/>
  <c r="AD468" i="5"/>
  <c r="AG468" i="5" s="1"/>
  <c r="C468" i="5" s="1"/>
  <c r="O469" i="5"/>
  <c r="AD469" i="5"/>
  <c r="AG469" i="5" s="1"/>
  <c r="C469" i="5" s="1"/>
  <c r="O470" i="5"/>
  <c r="AD470" i="5"/>
  <c r="AF470" i="5" s="1"/>
  <c r="B470" i="5" s="1"/>
  <c r="O16" i="5"/>
  <c r="AD16" i="5"/>
  <c r="O17" i="5"/>
  <c r="AD17" i="5"/>
  <c r="AF17" i="5" s="1"/>
  <c r="B17" i="5" s="1"/>
  <c r="O18" i="5"/>
  <c r="AD18" i="5"/>
  <c r="O19" i="5"/>
  <c r="AD19" i="5"/>
  <c r="O20" i="5"/>
  <c r="AD20" i="5"/>
  <c r="O21" i="5"/>
  <c r="AD21" i="5"/>
  <c r="O22" i="5"/>
  <c r="AD22" i="5"/>
  <c r="O23" i="5"/>
  <c r="AD23" i="5"/>
  <c r="O24" i="5"/>
  <c r="AD24" i="5"/>
  <c r="O25" i="5"/>
  <c r="AD25" i="5"/>
  <c r="AF25" i="5" s="1"/>
  <c r="B25" i="5" s="1"/>
  <c r="O26" i="5"/>
  <c r="AD26" i="5"/>
  <c r="O27" i="5"/>
  <c r="AD27" i="5"/>
  <c r="O28" i="5"/>
  <c r="AD28" i="5"/>
  <c r="AG28" i="5" s="1"/>
  <c r="O29" i="5"/>
  <c r="AD29" i="5"/>
  <c r="AF29" i="5" s="1"/>
  <c r="B29" i="5" s="1"/>
  <c r="O30" i="5"/>
  <c r="AD30" i="5"/>
  <c r="AF30" i="5" s="1"/>
  <c r="B30" i="5" s="1"/>
  <c r="O31" i="5"/>
  <c r="AD31" i="5"/>
  <c r="O32" i="5"/>
  <c r="AD32" i="5"/>
  <c r="AE32" i="5" s="1"/>
  <c r="O33" i="5"/>
  <c r="AD33" i="5"/>
  <c r="AE33" i="5" s="1"/>
  <c r="O34" i="5"/>
  <c r="AD34" i="5"/>
  <c r="AG34" i="5" s="1"/>
  <c r="C34" i="5" s="1"/>
  <c r="O35" i="5"/>
  <c r="AD35" i="5"/>
  <c r="AF35" i="5" s="1"/>
  <c r="B35" i="5" s="1"/>
  <c r="O36" i="5"/>
  <c r="AD36" i="5"/>
  <c r="AE36" i="5" s="1"/>
  <c r="O37" i="5"/>
  <c r="AD37" i="5"/>
  <c r="AE37" i="5" s="1"/>
  <c r="O38" i="5"/>
  <c r="AD38" i="5"/>
  <c r="AG38" i="5" s="1"/>
  <c r="C38" i="5" s="1"/>
  <c r="O39" i="5"/>
  <c r="AD39" i="5"/>
  <c r="AF39" i="5" s="1"/>
  <c r="B39" i="5" s="1"/>
  <c r="O40" i="5"/>
  <c r="AD40" i="5"/>
  <c r="AE40" i="5" s="1"/>
  <c r="O41" i="5"/>
  <c r="AD41" i="5"/>
  <c r="AE41" i="5" s="1"/>
  <c r="O42" i="5"/>
  <c r="AD42" i="5"/>
  <c r="AF42" i="5" s="1"/>
  <c r="B42" i="5" s="1"/>
  <c r="O43" i="5"/>
  <c r="AD43" i="5"/>
  <c r="AF43" i="5" s="1"/>
  <c r="B43" i="5" s="1"/>
  <c r="O44" i="5"/>
  <c r="AD44" i="5"/>
  <c r="AE44" i="5" s="1"/>
  <c r="O45" i="5"/>
  <c r="AD45" i="5"/>
  <c r="AE45" i="5" s="1"/>
  <c r="O46" i="5"/>
  <c r="AD46" i="5"/>
  <c r="AE46" i="5" s="1"/>
  <c r="O47" i="5"/>
  <c r="AD47" i="5"/>
  <c r="AF47" i="5" s="1"/>
  <c r="B47" i="5" s="1"/>
  <c r="AG49" i="5" l="1"/>
  <c r="C49" i="5" s="1"/>
  <c r="AG32" i="5"/>
  <c r="C32" i="5" s="1"/>
  <c r="AG50" i="5"/>
  <c r="C50" i="5" s="1"/>
  <c r="AF201" i="5"/>
  <c r="B201" i="5" s="1"/>
  <c r="AG258" i="5"/>
  <c r="C258" i="5" s="1"/>
  <c r="AF113" i="5"/>
  <c r="B113" i="5" s="1"/>
  <c r="AE47" i="5"/>
  <c r="AG368" i="5"/>
  <c r="C368" i="5" s="1"/>
  <c r="AG218" i="5"/>
  <c r="C218" i="5" s="1"/>
  <c r="AG199" i="5"/>
  <c r="C199" i="5" s="1"/>
  <c r="AF57" i="5"/>
  <c r="B57" i="5" s="1"/>
  <c r="AF50" i="5"/>
  <c r="B50" i="5" s="1"/>
  <c r="AF49" i="5"/>
  <c r="B49" i="5" s="1"/>
  <c r="AE42" i="5"/>
  <c r="AE368" i="5"/>
  <c r="AG110" i="5"/>
  <c r="C110" i="5" s="1"/>
  <c r="AE448" i="5"/>
  <c r="AG272" i="5"/>
  <c r="C272" i="5" s="1"/>
  <c r="AG382" i="5"/>
  <c r="C382" i="5" s="1"/>
  <c r="AG274" i="5"/>
  <c r="C274" i="5" s="1"/>
  <c r="AG202" i="5"/>
  <c r="C202" i="5" s="1"/>
  <c r="AG94" i="5"/>
  <c r="C94" i="5" s="1"/>
  <c r="AG89" i="5"/>
  <c r="C89" i="5" s="1"/>
  <c r="AG74" i="5"/>
  <c r="C74" i="5" s="1"/>
  <c r="AG53" i="5"/>
  <c r="C53" i="5" s="1"/>
  <c r="AF33" i="5"/>
  <c r="B33" i="5" s="1"/>
  <c r="AG372" i="5"/>
  <c r="C372" i="5" s="1"/>
  <c r="AE274" i="5"/>
  <c r="AF248" i="5"/>
  <c r="B248" i="5" s="1"/>
  <c r="AE202" i="5"/>
  <c r="AE198" i="5"/>
  <c r="AG113" i="5"/>
  <c r="C113" i="5" s="1"/>
  <c r="AG112" i="5"/>
  <c r="C112" i="5" s="1"/>
  <c r="AE94" i="5"/>
  <c r="AF89" i="5"/>
  <c r="B89" i="5" s="1"/>
  <c r="AF372" i="5"/>
  <c r="B372" i="5" s="1"/>
  <c r="AE43" i="5"/>
  <c r="AG428" i="5"/>
  <c r="C428" i="5" s="1"/>
  <c r="AF332" i="5"/>
  <c r="B332" i="5" s="1"/>
  <c r="AE218" i="5"/>
  <c r="AF110" i="5"/>
  <c r="B110" i="5" s="1"/>
  <c r="AG390" i="5"/>
  <c r="C390" i="5" s="1"/>
  <c r="AF380" i="5"/>
  <c r="B380" i="5" s="1"/>
  <c r="AF337" i="5"/>
  <c r="B337" i="5" s="1"/>
  <c r="AG290" i="5"/>
  <c r="C290" i="5" s="1"/>
  <c r="AG266" i="5"/>
  <c r="C266" i="5" s="1"/>
  <c r="AG256" i="5"/>
  <c r="C256" i="5" s="1"/>
  <c r="AG226" i="5"/>
  <c r="C226" i="5" s="1"/>
  <c r="AE138" i="5"/>
  <c r="AF102" i="5"/>
  <c r="B102" i="5" s="1"/>
  <c r="AF298" i="5"/>
  <c r="B298" i="5" s="1"/>
  <c r="AG262" i="5"/>
  <c r="C262" i="5" s="1"/>
  <c r="AG45" i="5"/>
  <c r="C45" i="5" s="1"/>
  <c r="AE38" i="5"/>
  <c r="AE30" i="5"/>
  <c r="AF441" i="5"/>
  <c r="B441" i="5" s="1"/>
  <c r="AF361" i="5"/>
  <c r="B361" i="5" s="1"/>
  <c r="AG360" i="5"/>
  <c r="C360" i="5" s="1"/>
  <c r="AE324" i="5"/>
  <c r="AE298" i="5"/>
  <c r="AF262" i="5"/>
  <c r="B262" i="5" s="1"/>
  <c r="AF216" i="5"/>
  <c r="B216" i="5" s="1"/>
  <c r="AG191" i="5"/>
  <c r="C191" i="5" s="1"/>
  <c r="AE190" i="5"/>
  <c r="AG175" i="5"/>
  <c r="C175" i="5" s="1"/>
  <c r="AF150" i="5"/>
  <c r="B150" i="5" s="1"/>
  <c r="AG98" i="5"/>
  <c r="C98" i="5" s="1"/>
  <c r="C28" i="5"/>
  <c r="AE39" i="5"/>
  <c r="AF38" i="5"/>
  <c r="B38" i="5" s="1"/>
  <c r="AE34" i="5"/>
  <c r="AE24" i="5"/>
  <c r="AE20" i="5"/>
  <c r="AF455" i="5"/>
  <c r="B455" i="5" s="1"/>
  <c r="AE454" i="5"/>
  <c r="AF452" i="5"/>
  <c r="B452" i="5" s="1"/>
  <c r="AF449" i="5"/>
  <c r="B449" i="5" s="1"/>
  <c r="AE440" i="5"/>
  <c r="AE417" i="5"/>
  <c r="AE386" i="5"/>
  <c r="AE378" i="5"/>
  <c r="AF349" i="5"/>
  <c r="B349" i="5" s="1"/>
  <c r="AE330" i="5"/>
  <c r="AF324" i="5"/>
  <c r="B324" i="5" s="1"/>
  <c r="AF321" i="5"/>
  <c r="B321" i="5" s="1"/>
  <c r="AG320" i="5"/>
  <c r="C320" i="5" s="1"/>
  <c r="AE314" i="5"/>
  <c r="AF310" i="5"/>
  <c r="B310" i="5" s="1"/>
  <c r="AG278" i="5"/>
  <c r="C278" i="5" s="1"/>
  <c r="AG242" i="5"/>
  <c r="C242" i="5" s="1"/>
  <c r="AE180" i="5"/>
  <c r="AE178" i="5"/>
  <c r="AF177" i="5"/>
  <c r="B177" i="5" s="1"/>
  <c r="AE172" i="5"/>
  <c r="AE170" i="5"/>
  <c r="AF169" i="5"/>
  <c r="B169" i="5" s="1"/>
  <c r="AG150" i="5"/>
  <c r="C150" i="5" s="1"/>
  <c r="AF138" i="5"/>
  <c r="B138" i="5" s="1"/>
  <c r="AG122" i="5"/>
  <c r="C122" i="5" s="1"/>
  <c r="AE118" i="5"/>
  <c r="AF107" i="5"/>
  <c r="B107" i="5" s="1"/>
  <c r="AG90" i="5"/>
  <c r="C90" i="5" s="1"/>
  <c r="AF82" i="5"/>
  <c r="B82" i="5" s="1"/>
  <c r="AE76" i="5"/>
  <c r="AF278" i="5"/>
  <c r="B278" i="5" s="1"/>
  <c r="AE276" i="5"/>
  <c r="AF122" i="5"/>
  <c r="B122" i="5" s="1"/>
  <c r="AE107" i="5"/>
  <c r="AE62" i="5"/>
  <c r="AG30" i="5"/>
  <c r="AE22" i="5"/>
  <c r="AG18" i="5"/>
  <c r="AE31" i="5"/>
  <c r="AE26" i="5"/>
  <c r="AE25" i="5"/>
  <c r="AE21" i="5"/>
  <c r="AE27" i="5"/>
  <c r="AE17" i="5"/>
  <c r="AF45" i="5"/>
  <c r="B45" i="5" s="1"/>
  <c r="AF34" i="5"/>
  <c r="B34" i="5" s="1"/>
  <c r="AE29" i="5"/>
  <c r="AE28" i="5"/>
  <c r="AE23" i="5"/>
  <c r="AE19" i="5"/>
  <c r="AE460" i="5"/>
  <c r="AG455" i="5"/>
  <c r="C455" i="5" s="1"/>
  <c r="AG452" i="5"/>
  <c r="C452" i="5" s="1"/>
  <c r="AE441" i="5"/>
  <c r="AE434" i="5"/>
  <c r="AE428" i="5"/>
  <c r="AF417" i="5"/>
  <c r="B417" i="5" s="1"/>
  <c r="AG394" i="5"/>
  <c r="C394" i="5" s="1"/>
  <c r="AG386" i="5"/>
  <c r="C386" i="5" s="1"/>
  <c r="AE380" i="5"/>
  <c r="AG378" i="5"/>
  <c r="C378" i="5" s="1"/>
  <c r="AF353" i="5"/>
  <c r="B353" i="5" s="1"/>
  <c r="AE332" i="5"/>
  <c r="AG330" i="5"/>
  <c r="C330" i="5" s="1"/>
  <c r="AF314" i="5"/>
  <c r="B314" i="5" s="1"/>
  <c r="AG310" i="5"/>
  <c r="C310" i="5" s="1"/>
  <c r="AG293" i="5"/>
  <c r="C293" i="5" s="1"/>
  <c r="AE292" i="5"/>
  <c r="AF266" i="5"/>
  <c r="B266" i="5" s="1"/>
  <c r="AE248" i="5"/>
  <c r="AG240" i="5"/>
  <c r="C240" i="5" s="1"/>
  <c r="AE226" i="5"/>
  <c r="AF180" i="5"/>
  <c r="B180" i="5" s="1"/>
  <c r="AF172" i="5"/>
  <c r="B172" i="5" s="1"/>
  <c r="AF118" i="5"/>
  <c r="B118" i="5" s="1"/>
  <c r="AE102" i="5"/>
  <c r="AG100" i="5"/>
  <c r="C100" i="5" s="1"/>
  <c r="AF98" i="5"/>
  <c r="B98" i="5" s="1"/>
  <c r="AG82" i="5"/>
  <c r="C82" i="5" s="1"/>
  <c r="AG76" i="5"/>
  <c r="C76" i="5" s="1"/>
  <c r="AF58" i="5"/>
  <c r="B58" i="5" s="1"/>
  <c r="AG57" i="5"/>
  <c r="C57" i="5" s="1"/>
  <c r="AF234" i="5"/>
  <c r="B234" i="5" s="1"/>
  <c r="AE234" i="5"/>
  <c r="AG234" i="5"/>
  <c r="C234" i="5" s="1"/>
  <c r="AE207" i="5"/>
  <c r="AG207" i="5"/>
  <c r="C207" i="5" s="1"/>
  <c r="AF462" i="5"/>
  <c r="B462" i="5" s="1"/>
  <c r="AE462" i="5"/>
  <c r="AG357" i="5"/>
  <c r="C357" i="5" s="1"/>
  <c r="AF357" i="5"/>
  <c r="B357" i="5" s="1"/>
  <c r="AF300" i="5"/>
  <c r="B300" i="5" s="1"/>
  <c r="AE300" i="5"/>
  <c r="AG200" i="5"/>
  <c r="C200" i="5" s="1"/>
  <c r="AE200" i="5"/>
  <c r="AF200" i="5"/>
  <c r="B200" i="5" s="1"/>
  <c r="AE142" i="5"/>
  <c r="AF142" i="5"/>
  <c r="B142" i="5" s="1"/>
  <c r="AG142" i="5"/>
  <c r="C142" i="5" s="1"/>
  <c r="AF128" i="5"/>
  <c r="B128" i="5" s="1"/>
  <c r="AG128" i="5"/>
  <c r="C128" i="5" s="1"/>
  <c r="AE114" i="5"/>
  <c r="AG114" i="5"/>
  <c r="C114" i="5" s="1"/>
  <c r="AF374" i="5"/>
  <c r="B374" i="5" s="1"/>
  <c r="AE374" i="5"/>
  <c r="AG374" i="5"/>
  <c r="C374" i="5" s="1"/>
  <c r="AF280" i="5"/>
  <c r="B280" i="5" s="1"/>
  <c r="AG280" i="5"/>
  <c r="C280" i="5" s="1"/>
  <c r="AG224" i="5"/>
  <c r="C224" i="5" s="1"/>
  <c r="AF224" i="5"/>
  <c r="B224" i="5" s="1"/>
  <c r="AF152" i="5"/>
  <c r="B152" i="5" s="1"/>
  <c r="AE152" i="5"/>
  <c r="AG152" i="5"/>
  <c r="C152" i="5" s="1"/>
  <c r="AF18" i="5"/>
  <c r="B18" i="5" s="1"/>
  <c r="AE463" i="5"/>
  <c r="AF463" i="5"/>
  <c r="B463" i="5" s="1"/>
  <c r="AF442" i="5"/>
  <c r="B442" i="5" s="1"/>
  <c r="AG442" i="5"/>
  <c r="C442" i="5" s="1"/>
  <c r="AE423" i="5"/>
  <c r="AF423" i="5"/>
  <c r="B423" i="5" s="1"/>
  <c r="AG423" i="5"/>
  <c r="C423" i="5" s="1"/>
  <c r="AG409" i="5"/>
  <c r="C409" i="5" s="1"/>
  <c r="AE409" i="5"/>
  <c r="AF409" i="5"/>
  <c r="B409" i="5" s="1"/>
  <c r="AE408" i="5"/>
  <c r="AF408" i="5"/>
  <c r="B408" i="5" s="1"/>
  <c r="AF364" i="5"/>
  <c r="B364" i="5" s="1"/>
  <c r="AG364" i="5"/>
  <c r="C364" i="5" s="1"/>
  <c r="AF354" i="5"/>
  <c r="B354" i="5" s="1"/>
  <c r="AE354" i="5"/>
  <c r="AG354" i="5"/>
  <c r="C354" i="5" s="1"/>
  <c r="AF340" i="5"/>
  <c r="B340" i="5" s="1"/>
  <c r="AE340" i="5"/>
  <c r="AG340" i="5"/>
  <c r="C340" i="5" s="1"/>
  <c r="AE301" i="5"/>
  <c r="AG301" i="5"/>
  <c r="C301" i="5" s="1"/>
  <c r="AE286" i="5"/>
  <c r="AF286" i="5"/>
  <c r="B286" i="5" s="1"/>
  <c r="AG286" i="5"/>
  <c r="C286" i="5" s="1"/>
  <c r="AE282" i="5"/>
  <c r="AF282" i="5"/>
  <c r="B282" i="5" s="1"/>
  <c r="AG282" i="5"/>
  <c r="C282" i="5" s="1"/>
  <c r="AF250" i="5"/>
  <c r="B250" i="5" s="1"/>
  <c r="AG250" i="5"/>
  <c r="C250" i="5" s="1"/>
  <c r="AF182" i="5"/>
  <c r="B182" i="5" s="1"/>
  <c r="AE182" i="5"/>
  <c r="AG182" i="5"/>
  <c r="C182" i="5" s="1"/>
  <c r="AE129" i="5"/>
  <c r="AF129" i="5"/>
  <c r="B129" i="5" s="1"/>
  <c r="AG129" i="5"/>
  <c r="C129" i="5" s="1"/>
  <c r="AF84" i="5"/>
  <c r="B84" i="5" s="1"/>
  <c r="AE84" i="5"/>
  <c r="AG84" i="5"/>
  <c r="C84" i="5" s="1"/>
  <c r="AE78" i="5"/>
  <c r="AF78" i="5"/>
  <c r="B78" i="5" s="1"/>
  <c r="AG78" i="5"/>
  <c r="C78" i="5" s="1"/>
  <c r="AE70" i="5"/>
  <c r="AF70" i="5"/>
  <c r="B70" i="5" s="1"/>
  <c r="AG70" i="5"/>
  <c r="C70" i="5" s="1"/>
  <c r="AF466" i="5"/>
  <c r="B466" i="5" s="1"/>
  <c r="AE466" i="5"/>
  <c r="AF338" i="5"/>
  <c r="B338" i="5" s="1"/>
  <c r="AE338" i="5"/>
  <c r="AG338" i="5"/>
  <c r="C338" i="5" s="1"/>
  <c r="AE86" i="5"/>
  <c r="AG86" i="5"/>
  <c r="C86" i="5" s="1"/>
  <c r="AF422" i="5"/>
  <c r="B422" i="5" s="1"/>
  <c r="AE422" i="5"/>
  <c r="AG33" i="5"/>
  <c r="C33" i="5" s="1"/>
  <c r="AG29" i="5"/>
  <c r="AG26" i="5"/>
  <c r="AG25" i="5"/>
  <c r="AE18" i="5"/>
  <c r="AG17" i="5"/>
  <c r="AG466" i="5"/>
  <c r="C466" i="5" s="1"/>
  <c r="AG460" i="5"/>
  <c r="C460" i="5" s="1"/>
  <c r="AF448" i="5"/>
  <c r="B448" i="5" s="1"/>
  <c r="AF444" i="5"/>
  <c r="B444" i="5" s="1"/>
  <c r="AG444" i="5"/>
  <c r="C444" i="5" s="1"/>
  <c r="AG440" i="5"/>
  <c r="C440" i="5" s="1"/>
  <c r="AG434" i="5"/>
  <c r="C434" i="5" s="1"/>
  <c r="AG432" i="5"/>
  <c r="C432" i="5" s="1"/>
  <c r="AE400" i="5"/>
  <c r="AF400" i="5"/>
  <c r="B400" i="5" s="1"/>
  <c r="AG400" i="5"/>
  <c r="C400" i="5" s="1"/>
  <c r="AF326" i="5"/>
  <c r="B326" i="5" s="1"/>
  <c r="AE326" i="5"/>
  <c r="AG326" i="5"/>
  <c r="C326" i="5" s="1"/>
  <c r="AE306" i="5"/>
  <c r="AF306" i="5"/>
  <c r="B306" i="5" s="1"/>
  <c r="AG306" i="5"/>
  <c r="C306" i="5" s="1"/>
  <c r="AE126" i="5"/>
  <c r="AF126" i="5"/>
  <c r="B126" i="5" s="1"/>
  <c r="AG126" i="5"/>
  <c r="C126" i="5" s="1"/>
  <c r="AF404" i="5"/>
  <c r="B404" i="5" s="1"/>
  <c r="AE394" i="5"/>
  <c r="AE390" i="5"/>
  <c r="AF385" i="5"/>
  <c r="B385" i="5" s="1"/>
  <c r="AE382" i="5"/>
  <c r="AF376" i="5"/>
  <c r="B376" i="5" s="1"/>
  <c r="AG348" i="5"/>
  <c r="C348" i="5" s="1"/>
  <c r="AF320" i="5"/>
  <c r="B320" i="5" s="1"/>
  <c r="AG302" i="5"/>
  <c r="C302" i="5" s="1"/>
  <c r="AF290" i="5"/>
  <c r="B290" i="5" s="1"/>
  <c r="AG270" i="5"/>
  <c r="C270" i="5" s="1"/>
  <c r="AF256" i="5"/>
  <c r="B256" i="5" s="1"/>
  <c r="AF240" i="5"/>
  <c r="B240" i="5" s="1"/>
  <c r="AG210" i="5"/>
  <c r="C210" i="5" s="1"/>
  <c r="AF208" i="5"/>
  <c r="B208" i="5" s="1"/>
  <c r="AG146" i="5"/>
  <c r="C146" i="5" s="1"/>
  <c r="AG134" i="5"/>
  <c r="C134" i="5" s="1"/>
  <c r="AG120" i="5"/>
  <c r="C120" i="5" s="1"/>
  <c r="AF74" i="5"/>
  <c r="B74" i="5" s="1"/>
  <c r="AF381" i="5"/>
  <c r="B381" i="5" s="1"/>
  <c r="AE376" i="5"/>
  <c r="AF348" i="5"/>
  <c r="B348" i="5" s="1"/>
  <c r="AF345" i="5"/>
  <c r="B345" i="5" s="1"/>
  <c r="AF333" i="5"/>
  <c r="B333" i="5" s="1"/>
  <c r="AF302" i="5"/>
  <c r="B302" i="5" s="1"/>
  <c r="AG288" i="5"/>
  <c r="C288" i="5" s="1"/>
  <c r="AF270" i="5"/>
  <c r="B270" i="5" s="1"/>
  <c r="AF232" i="5"/>
  <c r="B232" i="5" s="1"/>
  <c r="AE210" i="5"/>
  <c r="AE208" i="5"/>
  <c r="AG183" i="5"/>
  <c r="C183" i="5" s="1"/>
  <c r="AF163" i="5"/>
  <c r="B163" i="5" s="1"/>
  <c r="AG161" i="5"/>
  <c r="C161" i="5" s="1"/>
  <c r="AG160" i="5"/>
  <c r="C160" i="5" s="1"/>
  <c r="AF146" i="5"/>
  <c r="B146" i="5" s="1"/>
  <c r="AF134" i="5"/>
  <c r="B134" i="5" s="1"/>
  <c r="AE120" i="5"/>
  <c r="AG62" i="5"/>
  <c r="C62" i="5" s="1"/>
  <c r="AG58" i="5"/>
  <c r="C58" i="5" s="1"/>
  <c r="AG433" i="5"/>
  <c r="C433" i="5" s="1"/>
  <c r="AE433" i="5"/>
  <c r="AF418" i="5"/>
  <c r="B418" i="5" s="1"/>
  <c r="AG418" i="5"/>
  <c r="C418" i="5" s="1"/>
  <c r="AF414" i="5"/>
  <c r="B414" i="5" s="1"/>
  <c r="AE414" i="5"/>
  <c r="AG392" i="5"/>
  <c r="C392" i="5" s="1"/>
  <c r="AF392" i="5"/>
  <c r="B392" i="5" s="1"/>
  <c r="AF388" i="5"/>
  <c r="B388" i="5" s="1"/>
  <c r="AE388" i="5"/>
  <c r="AG369" i="5"/>
  <c r="C369" i="5" s="1"/>
  <c r="AF369" i="5"/>
  <c r="B369" i="5" s="1"/>
  <c r="AG365" i="5"/>
  <c r="C365" i="5" s="1"/>
  <c r="AF365" i="5"/>
  <c r="B365" i="5" s="1"/>
  <c r="AF26" i="5"/>
  <c r="B26" i="5" s="1"/>
  <c r="AG22" i="5"/>
  <c r="AG21" i="5"/>
  <c r="AG465" i="5"/>
  <c r="C465" i="5" s="1"/>
  <c r="AE465" i="5"/>
  <c r="AG464" i="5"/>
  <c r="C464" i="5" s="1"/>
  <c r="AF450" i="5"/>
  <c r="B450" i="5" s="1"/>
  <c r="AG450" i="5"/>
  <c r="C450" i="5" s="1"/>
  <c r="AE449" i="5"/>
  <c r="AF446" i="5"/>
  <c r="B446" i="5" s="1"/>
  <c r="AE446" i="5"/>
  <c r="AF436" i="5"/>
  <c r="B436" i="5" s="1"/>
  <c r="AF432" i="5"/>
  <c r="B432" i="5" s="1"/>
  <c r="AF426" i="5"/>
  <c r="B426" i="5" s="1"/>
  <c r="AE426" i="5"/>
  <c r="AG425" i="5"/>
  <c r="C425" i="5" s="1"/>
  <c r="AF425" i="5"/>
  <c r="B425" i="5" s="1"/>
  <c r="AG424" i="5"/>
  <c r="C424" i="5" s="1"/>
  <c r="AE415" i="5"/>
  <c r="AF415" i="5"/>
  <c r="B415" i="5" s="1"/>
  <c r="AF406" i="5"/>
  <c r="B406" i="5" s="1"/>
  <c r="AE406" i="5"/>
  <c r="AE404" i="5"/>
  <c r="AG46" i="5"/>
  <c r="C46" i="5" s="1"/>
  <c r="AF46" i="5"/>
  <c r="B46" i="5" s="1"/>
  <c r="AG42" i="5"/>
  <c r="C42" i="5" s="1"/>
  <c r="AG41" i="5"/>
  <c r="C41" i="5" s="1"/>
  <c r="AF41" i="5"/>
  <c r="B41" i="5" s="1"/>
  <c r="AG37" i="5"/>
  <c r="C37" i="5" s="1"/>
  <c r="AE35" i="5"/>
  <c r="AG24" i="5"/>
  <c r="AF22" i="5"/>
  <c r="B22" i="5" s="1"/>
  <c r="AF21" i="5"/>
  <c r="B21" i="5" s="1"/>
  <c r="AF468" i="5"/>
  <c r="B468" i="5" s="1"/>
  <c r="AF464" i="5"/>
  <c r="B464" i="5" s="1"/>
  <c r="AF458" i="5"/>
  <c r="B458" i="5" s="1"/>
  <c r="AE458" i="5"/>
  <c r="AG457" i="5"/>
  <c r="C457" i="5" s="1"/>
  <c r="AF457" i="5"/>
  <c r="B457" i="5" s="1"/>
  <c r="AG456" i="5"/>
  <c r="C456" i="5" s="1"/>
  <c r="AE447" i="5"/>
  <c r="AF447" i="5"/>
  <c r="B447" i="5" s="1"/>
  <c r="AE438" i="5"/>
  <c r="AE436" i="5"/>
  <c r="AG431" i="5"/>
  <c r="C431" i="5" s="1"/>
  <c r="AE424" i="5"/>
  <c r="AG420" i="5"/>
  <c r="C420" i="5" s="1"/>
  <c r="AF416" i="5"/>
  <c r="B416" i="5" s="1"/>
  <c r="AG412" i="5"/>
  <c r="C412" i="5" s="1"/>
  <c r="AG410" i="5"/>
  <c r="C410" i="5" s="1"/>
  <c r="AF398" i="5"/>
  <c r="B398" i="5" s="1"/>
  <c r="AG398" i="5"/>
  <c r="C398" i="5" s="1"/>
  <c r="AF396" i="5"/>
  <c r="B396" i="5" s="1"/>
  <c r="AE396" i="5"/>
  <c r="AG384" i="5"/>
  <c r="C384" i="5" s="1"/>
  <c r="AF384" i="5"/>
  <c r="B384" i="5" s="1"/>
  <c r="AF362" i="5"/>
  <c r="B362" i="5" s="1"/>
  <c r="AE362" i="5"/>
  <c r="AG362" i="5"/>
  <c r="C362" i="5" s="1"/>
  <c r="AF37" i="5"/>
  <c r="B37" i="5" s="1"/>
  <c r="AG20" i="5"/>
  <c r="AE16" i="5"/>
  <c r="AG16" i="5"/>
  <c r="AE470" i="5"/>
  <c r="AE468" i="5"/>
  <c r="AE456" i="5"/>
  <c r="AE439" i="5"/>
  <c r="AG439" i="5"/>
  <c r="C439" i="5" s="1"/>
  <c r="AF433" i="5"/>
  <c r="B433" i="5" s="1"/>
  <c r="AF431" i="5"/>
  <c r="B431" i="5" s="1"/>
  <c r="AE430" i="5"/>
  <c r="AF420" i="5"/>
  <c r="B420" i="5" s="1"/>
  <c r="AE418" i="5"/>
  <c r="AE416" i="5"/>
  <c r="AE412" i="5"/>
  <c r="AE410" i="5"/>
  <c r="AF402" i="5"/>
  <c r="B402" i="5" s="1"/>
  <c r="AE402" i="5"/>
  <c r="AE392" i="5"/>
  <c r="AG388" i="5"/>
  <c r="C388" i="5" s="1"/>
  <c r="AF377" i="5"/>
  <c r="B377" i="5" s="1"/>
  <c r="AF373" i="5"/>
  <c r="B373" i="5" s="1"/>
  <c r="AE370" i="5"/>
  <c r="AE366" i="5"/>
  <c r="AE364" i="5"/>
  <c r="AE360" i="5"/>
  <c r="AG358" i="5"/>
  <c r="C358" i="5" s="1"/>
  <c r="AF356" i="5"/>
  <c r="B356" i="5" s="1"/>
  <c r="AF352" i="5"/>
  <c r="B352" i="5" s="1"/>
  <c r="AF346" i="5"/>
  <c r="B346" i="5" s="1"/>
  <c r="AG346" i="5"/>
  <c r="C346" i="5" s="1"/>
  <c r="AF344" i="5"/>
  <c r="B344" i="5" s="1"/>
  <c r="AF341" i="5"/>
  <c r="B341" i="5" s="1"/>
  <c r="AE336" i="5"/>
  <c r="AE334" i="5"/>
  <c r="AF328" i="5"/>
  <c r="B328" i="5" s="1"/>
  <c r="AG309" i="5"/>
  <c r="C309" i="5" s="1"/>
  <c r="AE308" i="5"/>
  <c r="AG295" i="5"/>
  <c r="C295" i="5" s="1"/>
  <c r="AF295" i="5"/>
  <c r="B295" i="5" s="1"/>
  <c r="AG294" i="5"/>
  <c r="C294" i="5" s="1"/>
  <c r="AE284" i="5"/>
  <c r="AF252" i="5"/>
  <c r="B252" i="5" s="1"/>
  <c r="AG252" i="5"/>
  <c r="C252" i="5" s="1"/>
  <c r="AE252" i="5"/>
  <c r="AF244" i="5"/>
  <c r="B244" i="5" s="1"/>
  <c r="AG244" i="5"/>
  <c r="C244" i="5" s="1"/>
  <c r="AE244" i="5"/>
  <c r="AE358" i="5"/>
  <c r="AE356" i="5"/>
  <c r="AE352" i="5"/>
  <c r="AF342" i="5"/>
  <c r="B342" i="5" s="1"/>
  <c r="AG342" i="5"/>
  <c r="C342" i="5" s="1"/>
  <c r="AG329" i="5"/>
  <c r="C329" i="5" s="1"/>
  <c r="AF329" i="5"/>
  <c r="B329" i="5" s="1"/>
  <c r="AE328" i="5"/>
  <c r="AF318" i="5"/>
  <c r="B318" i="5" s="1"/>
  <c r="AE318" i="5"/>
  <c r="AF317" i="5"/>
  <c r="B317" i="5" s="1"/>
  <c r="AE316" i="5"/>
  <c r="AG303" i="5"/>
  <c r="C303" i="5" s="1"/>
  <c r="AF303" i="5"/>
  <c r="B303" i="5" s="1"/>
  <c r="AF296" i="5"/>
  <c r="B296" i="5" s="1"/>
  <c r="AE296" i="5"/>
  <c r="AF294" i="5"/>
  <c r="B294" i="5" s="1"/>
  <c r="AE285" i="5"/>
  <c r="AG285" i="5"/>
  <c r="C285" i="5" s="1"/>
  <c r="AE268" i="5"/>
  <c r="AF350" i="5"/>
  <c r="B350" i="5" s="1"/>
  <c r="AE350" i="5"/>
  <c r="AF322" i="5"/>
  <c r="B322" i="5" s="1"/>
  <c r="AE322" i="5"/>
  <c r="AG311" i="5"/>
  <c r="C311" i="5" s="1"/>
  <c r="AF311" i="5"/>
  <c r="B311" i="5" s="1"/>
  <c r="AF304" i="5"/>
  <c r="B304" i="5" s="1"/>
  <c r="AE304" i="5"/>
  <c r="AE269" i="5"/>
  <c r="AG269" i="5"/>
  <c r="C269" i="5" s="1"/>
  <c r="AF264" i="5"/>
  <c r="B264" i="5" s="1"/>
  <c r="AE264" i="5"/>
  <c r="AG264" i="5"/>
  <c r="C264" i="5" s="1"/>
  <c r="AG370" i="5"/>
  <c r="C370" i="5" s="1"/>
  <c r="AG366" i="5"/>
  <c r="C366" i="5" s="1"/>
  <c r="AG344" i="5"/>
  <c r="C344" i="5" s="1"/>
  <c r="AG336" i="5"/>
  <c r="C336" i="5" s="1"/>
  <c r="AG334" i="5"/>
  <c r="C334" i="5" s="1"/>
  <c r="AG325" i="5"/>
  <c r="C325" i="5" s="1"/>
  <c r="AF325" i="5"/>
  <c r="B325" i="5" s="1"/>
  <c r="AF312" i="5"/>
  <c r="B312" i="5" s="1"/>
  <c r="AE312" i="5"/>
  <c r="AE277" i="5"/>
  <c r="AG277" i="5"/>
  <c r="C277" i="5" s="1"/>
  <c r="AF260" i="5"/>
  <c r="B260" i="5" s="1"/>
  <c r="AG260" i="5"/>
  <c r="C260" i="5" s="1"/>
  <c r="AE260" i="5"/>
  <c r="AF230" i="5"/>
  <c r="B230" i="5" s="1"/>
  <c r="AE230" i="5"/>
  <c r="AF222" i="5"/>
  <c r="B222" i="5" s="1"/>
  <c r="AE222" i="5"/>
  <c r="AF214" i="5"/>
  <c r="B214" i="5" s="1"/>
  <c r="AE214" i="5"/>
  <c r="AF206" i="5"/>
  <c r="B206" i="5" s="1"/>
  <c r="AE206" i="5"/>
  <c r="AF193" i="5"/>
  <c r="B193" i="5" s="1"/>
  <c r="AF185" i="5"/>
  <c r="B185" i="5" s="1"/>
  <c r="AF168" i="5"/>
  <c r="B168" i="5" s="1"/>
  <c r="AG168" i="5"/>
  <c r="C168" i="5" s="1"/>
  <c r="AF155" i="5"/>
  <c r="B155" i="5" s="1"/>
  <c r="AG153" i="5"/>
  <c r="C153" i="5" s="1"/>
  <c r="AE145" i="5"/>
  <c r="AG145" i="5"/>
  <c r="C145" i="5" s="1"/>
  <c r="AF144" i="5"/>
  <c r="B144" i="5" s="1"/>
  <c r="AG144" i="5"/>
  <c r="C144" i="5" s="1"/>
  <c r="AG115" i="5"/>
  <c r="C115" i="5" s="1"/>
  <c r="AE115" i="5"/>
  <c r="AF115" i="5"/>
  <c r="B115" i="5" s="1"/>
  <c r="AF194" i="5"/>
  <c r="B194" i="5" s="1"/>
  <c r="AG194" i="5"/>
  <c r="C194" i="5" s="1"/>
  <c r="AF186" i="5"/>
  <c r="B186" i="5" s="1"/>
  <c r="AG186" i="5"/>
  <c r="C186" i="5" s="1"/>
  <c r="AF166" i="5"/>
  <c r="B166" i="5" s="1"/>
  <c r="AG166" i="5"/>
  <c r="C166" i="5" s="1"/>
  <c r="AF162" i="5"/>
  <c r="B162" i="5" s="1"/>
  <c r="AG162" i="5"/>
  <c r="C162" i="5" s="1"/>
  <c r="AE154" i="5"/>
  <c r="AF154" i="5"/>
  <c r="B154" i="5" s="1"/>
  <c r="AE121" i="5"/>
  <c r="AG121" i="5"/>
  <c r="C121" i="5" s="1"/>
  <c r="AE288" i="5"/>
  <c r="AF287" i="5"/>
  <c r="B287" i="5" s="1"/>
  <c r="AE280" i="5"/>
  <c r="AF279" i="5"/>
  <c r="B279" i="5" s="1"/>
  <c r="AE272" i="5"/>
  <c r="AF271" i="5"/>
  <c r="B271" i="5" s="1"/>
  <c r="AE258" i="5"/>
  <c r="AE250" i="5"/>
  <c r="AE242" i="5"/>
  <c r="AG236" i="5"/>
  <c r="C236" i="5" s="1"/>
  <c r="AE232" i="5"/>
  <c r="AG228" i="5"/>
  <c r="C228" i="5" s="1"/>
  <c r="AE224" i="5"/>
  <c r="AG220" i="5"/>
  <c r="C220" i="5" s="1"/>
  <c r="AE216" i="5"/>
  <c r="AG212" i="5"/>
  <c r="C212" i="5" s="1"/>
  <c r="AE196" i="5"/>
  <c r="AF196" i="5"/>
  <c r="B196" i="5" s="1"/>
  <c r="AF192" i="5"/>
  <c r="B192" i="5" s="1"/>
  <c r="AG192" i="5"/>
  <c r="C192" i="5" s="1"/>
  <c r="AE188" i="5"/>
  <c r="AF188" i="5"/>
  <c r="B188" i="5" s="1"/>
  <c r="AF184" i="5"/>
  <c r="B184" i="5" s="1"/>
  <c r="AG184" i="5"/>
  <c r="C184" i="5" s="1"/>
  <c r="AF176" i="5"/>
  <c r="B176" i="5" s="1"/>
  <c r="AG176" i="5"/>
  <c r="C176" i="5" s="1"/>
  <c r="AF174" i="5"/>
  <c r="B174" i="5" s="1"/>
  <c r="AE174" i="5"/>
  <c r="AG174" i="5"/>
  <c r="C174" i="5" s="1"/>
  <c r="AE158" i="5"/>
  <c r="AF158" i="5"/>
  <c r="B158" i="5" s="1"/>
  <c r="AE137" i="5"/>
  <c r="AF137" i="5"/>
  <c r="B137" i="5" s="1"/>
  <c r="AG137" i="5"/>
  <c r="C137" i="5" s="1"/>
  <c r="AF136" i="5"/>
  <c r="B136" i="5" s="1"/>
  <c r="AG136" i="5"/>
  <c r="C136" i="5" s="1"/>
  <c r="AE109" i="5"/>
  <c r="AF109" i="5"/>
  <c r="B109" i="5" s="1"/>
  <c r="AE106" i="5"/>
  <c r="AF106" i="5"/>
  <c r="B106" i="5" s="1"/>
  <c r="AG106" i="5"/>
  <c r="C106" i="5" s="1"/>
  <c r="AE254" i="5"/>
  <c r="AE246" i="5"/>
  <c r="AE238" i="5"/>
  <c r="AE236" i="5"/>
  <c r="AE228" i="5"/>
  <c r="AE220" i="5"/>
  <c r="AE212" i="5"/>
  <c r="AF204" i="5"/>
  <c r="B204" i="5" s="1"/>
  <c r="AG204" i="5"/>
  <c r="C204" i="5" s="1"/>
  <c r="AE168" i="5"/>
  <c r="AG147" i="5"/>
  <c r="C147" i="5" s="1"/>
  <c r="AF147" i="5"/>
  <c r="B147" i="5" s="1"/>
  <c r="AE144" i="5"/>
  <c r="AG131" i="5"/>
  <c r="C131" i="5" s="1"/>
  <c r="AF131" i="5"/>
  <c r="B131" i="5" s="1"/>
  <c r="AE130" i="5"/>
  <c r="AF130" i="5"/>
  <c r="B130" i="5" s="1"/>
  <c r="AG123" i="5"/>
  <c r="C123" i="5" s="1"/>
  <c r="AE123" i="5"/>
  <c r="AF123" i="5"/>
  <c r="B123" i="5" s="1"/>
  <c r="AE160" i="5"/>
  <c r="AF139" i="5"/>
  <c r="B139" i="5" s="1"/>
  <c r="AE128" i="5"/>
  <c r="AE119" i="5"/>
  <c r="AF114" i="5"/>
  <c r="B114" i="5" s="1"/>
  <c r="AE112" i="5"/>
  <c r="AG105" i="5"/>
  <c r="C105" i="5" s="1"/>
  <c r="AE100" i="5"/>
  <c r="AG92" i="5"/>
  <c r="C92" i="5" s="1"/>
  <c r="AF90" i="5"/>
  <c r="B90" i="5" s="1"/>
  <c r="AF86" i="5"/>
  <c r="B86" i="5" s="1"/>
  <c r="AG66" i="5"/>
  <c r="C66" i="5" s="1"/>
  <c r="AG65" i="5"/>
  <c r="C65" i="5" s="1"/>
  <c r="AG56" i="5"/>
  <c r="C56" i="5" s="1"/>
  <c r="AF54" i="5"/>
  <c r="B54" i="5" s="1"/>
  <c r="AF53" i="5"/>
  <c r="B53" i="5" s="1"/>
  <c r="AF117" i="5"/>
  <c r="B117" i="5" s="1"/>
  <c r="AE111" i="5"/>
  <c r="AF105" i="5"/>
  <c r="B105" i="5" s="1"/>
  <c r="AG104" i="5"/>
  <c r="C104" i="5" s="1"/>
  <c r="AE99" i="5"/>
  <c r="AE92" i="5"/>
  <c r="AF91" i="5"/>
  <c r="B91" i="5" s="1"/>
  <c r="AF79" i="5"/>
  <c r="B79" i="5" s="1"/>
  <c r="AG77" i="5"/>
  <c r="C77" i="5" s="1"/>
  <c r="AG73" i="5"/>
  <c r="C73" i="5" s="1"/>
  <c r="AG69" i="5"/>
  <c r="C69" i="5" s="1"/>
  <c r="AF66" i="5"/>
  <c r="B66" i="5" s="1"/>
  <c r="AF65" i="5"/>
  <c r="B65" i="5" s="1"/>
  <c r="AG61" i="5"/>
  <c r="C61" i="5" s="1"/>
  <c r="AE54" i="5"/>
  <c r="AG52" i="5"/>
  <c r="C52" i="5" s="1"/>
  <c r="AF97" i="5"/>
  <c r="B97" i="5" s="1"/>
  <c r="AF87" i="5"/>
  <c r="B87" i="5" s="1"/>
  <c r="AG85" i="5"/>
  <c r="C85" i="5" s="1"/>
  <c r="AF73" i="5"/>
  <c r="B73" i="5" s="1"/>
  <c r="AF69" i="5"/>
  <c r="B69" i="5" s="1"/>
  <c r="AF61" i="5"/>
  <c r="B61" i="5" s="1"/>
  <c r="AG48" i="5"/>
  <c r="C48" i="5" s="1"/>
  <c r="N14" i="36"/>
  <c r="L18" i="36"/>
  <c r="L14" i="36"/>
  <c r="P14" i="36"/>
  <c r="K14" i="36"/>
  <c r="P17" i="36"/>
  <c r="K18" i="36"/>
  <c r="L16" i="36"/>
  <c r="P16" i="36"/>
  <c r="K16" i="36"/>
  <c r="L19" i="36"/>
  <c r="AE305" i="5"/>
  <c r="AF305" i="5"/>
  <c r="B305" i="5" s="1"/>
  <c r="AG305" i="5"/>
  <c r="C305" i="5" s="1"/>
  <c r="AE195" i="5"/>
  <c r="AF195" i="5"/>
  <c r="B195" i="5" s="1"/>
  <c r="AG195" i="5"/>
  <c r="C195" i="5" s="1"/>
  <c r="AE403" i="5"/>
  <c r="AG403" i="5"/>
  <c r="C403" i="5" s="1"/>
  <c r="AG401" i="5"/>
  <c r="C401" i="5" s="1"/>
  <c r="AE401" i="5"/>
  <c r="AE387" i="5"/>
  <c r="AG387" i="5"/>
  <c r="C387" i="5" s="1"/>
  <c r="AE379" i="5"/>
  <c r="AF379" i="5"/>
  <c r="B379" i="5" s="1"/>
  <c r="AG379" i="5"/>
  <c r="C379" i="5" s="1"/>
  <c r="AE371" i="5"/>
  <c r="AF371" i="5"/>
  <c r="B371" i="5" s="1"/>
  <c r="AG371" i="5"/>
  <c r="C371" i="5" s="1"/>
  <c r="AE363" i="5"/>
  <c r="AF363" i="5"/>
  <c r="B363" i="5" s="1"/>
  <c r="AG363" i="5"/>
  <c r="C363" i="5" s="1"/>
  <c r="AE355" i="5"/>
  <c r="AF355" i="5"/>
  <c r="B355" i="5" s="1"/>
  <c r="AG355" i="5"/>
  <c r="C355" i="5" s="1"/>
  <c r="AE347" i="5"/>
  <c r="AF347" i="5"/>
  <c r="B347" i="5" s="1"/>
  <c r="AG347" i="5"/>
  <c r="C347" i="5" s="1"/>
  <c r="AE339" i="5"/>
  <c r="AF339" i="5"/>
  <c r="B339" i="5" s="1"/>
  <c r="AG339" i="5"/>
  <c r="C339" i="5" s="1"/>
  <c r="AE331" i="5"/>
  <c r="AF331" i="5"/>
  <c r="B331" i="5" s="1"/>
  <c r="AG331" i="5"/>
  <c r="C331" i="5" s="1"/>
  <c r="AE323" i="5"/>
  <c r="AF323" i="5"/>
  <c r="B323" i="5" s="1"/>
  <c r="AG323" i="5"/>
  <c r="C323" i="5" s="1"/>
  <c r="AG307" i="5"/>
  <c r="C307" i="5" s="1"/>
  <c r="AE307" i="5"/>
  <c r="AF307" i="5"/>
  <c r="B307" i="5" s="1"/>
  <c r="AG291" i="5"/>
  <c r="C291" i="5" s="1"/>
  <c r="AE291" i="5"/>
  <c r="AF291" i="5"/>
  <c r="B291" i="5" s="1"/>
  <c r="AG275" i="5"/>
  <c r="C275" i="5" s="1"/>
  <c r="AE275" i="5"/>
  <c r="AF275" i="5"/>
  <c r="B275" i="5" s="1"/>
  <c r="AE391" i="5"/>
  <c r="AG391" i="5"/>
  <c r="C391" i="5" s="1"/>
  <c r="AG389" i="5"/>
  <c r="C389" i="5" s="1"/>
  <c r="AE389" i="5"/>
  <c r="AE289" i="5"/>
  <c r="AF289" i="5"/>
  <c r="B289" i="5" s="1"/>
  <c r="AG289" i="5"/>
  <c r="C289" i="5" s="1"/>
  <c r="AE273" i="5"/>
  <c r="AF273" i="5"/>
  <c r="B273" i="5" s="1"/>
  <c r="AG273" i="5"/>
  <c r="C273" i="5" s="1"/>
  <c r="AG263" i="5"/>
  <c r="C263" i="5" s="1"/>
  <c r="AE263" i="5"/>
  <c r="AF263" i="5"/>
  <c r="B263" i="5" s="1"/>
  <c r="AF469" i="5"/>
  <c r="B469" i="5" s="1"/>
  <c r="AG427" i="5"/>
  <c r="C427" i="5" s="1"/>
  <c r="AG419" i="5"/>
  <c r="C419" i="5" s="1"/>
  <c r="AE313" i="5"/>
  <c r="AF313" i="5"/>
  <c r="B313" i="5" s="1"/>
  <c r="AG313" i="5"/>
  <c r="C313" i="5" s="1"/>
  <c r="AE297" i="5"/>
  <c r="AF297" i="5"/>
  <c r="B297" i="5" s="1"/>
  <c r="AG297" i="5"/>
  <c r="C297" i="5" s="1"/>
  <c r="AE281" i="5"/>
  <c r="AF281" i="5"/>
  <c r="B281" i="5" s="1"/>
  <c r="AG281" i="5"/>
  <c r="C281" i="5" s="1"/>
  <c r="AG257" i="5"/>
  <c r="C257" i="5" s="1"/>
  <c r="AE257" i="5"/>
  <c r="AF257" i="5"/>
  <c r="B257" i="5" s="1"/>
  <c r="AG249" i="5"/>
  <c r="C249" i="5" s="1"/>
  <c r="AE249" i="5"/>
  <c r="AF249" i="5"/>
  <c r="B249" i="5" s="1"/>
  <c r="AG241" i="5"/>
  <c r="C241" i="5" s="1"/>
  <c r="AE241" i="5"/>
  <c r="AF241" i="5"/>
  <c r="B241" i="5" s="1"/>
  <c r="AG233" i="5"/>
  <c r="C233" i="5" s="1"/>
  <c r="AE233" i="5"/>
  <c r="AF233" i="5"/>
  <c r="B233" i="5" s="1"/>
  <c r="AG225" i="5"/>
  <c r="C225" i="5" s="1"/>
  <c r="AE225" i="5"/>
  <c r="AF225" i="5"/>
  <c r="B225" i="5" s="1"/>
  <c r="AG217" i="5"/>
  <c r="C217" i="5" s="1"/>
  <c r="AE217" i="5"/>
  <c r="AF217" i="5"/>
  <c r="B217" i="5" s="1"/>
  <c r="AG209" i="5"/>
  <c r="C209" i="5" s="1"/>
  <c r="AE209" i="5"/>
  <c r="AF209" i="5"/>
  <c r="B209" i="5" s="1"/>
  <c r="AE171" i="5"/>
  <c r="AF171" i="5"/>
  <c r="B171" i="5" s="1"/>
  <c r="AG171" i="5"/>
  <c r="C171" i="5" s="1"/>
  <c r="AE407" i="5"/>
  <c r="AG407" i="5"/>
  <c r="C407" i="5" s="1"/>
  <c r="AG405" i="5"/>
  <c r="C405" i="5" s="1"/>
  <c r="AE405" i="5"/>
  <c r="AG467" i="5"/>
  <c r="C467" i="5" s="1"/>
  <c r="AF461" i="5"/>
  <c r="B461" i="5" s="1"/>
  <c r="AG459" i="5"/>
  <c r="C459" i="5" s="1"/>
  <c r="AF453" i="5"/>
  <c r="B453" i="5" s="1"/>
  <c r="AG451" i="5"/>
  <c r="C451" i="5" s="1"/>
  <c r="AF445" i="5"/>
  <c r="B445" i="5" s="1"/>
  <c r="AG443" i="5"/>
  <c r="C443" i="5" s="1"/>
  <c r="AF437" i="5"/>
  <c r="B437" i="5" s="1"/>
  <c r="AG435" i="5"/>
  <c r="C435" i="5" s="1"/>
  <c r="AF429" i="5"/>
  <c r="B429" i="5" s="1"/>
  <c r="AF421" i="5"/>
  <c r="B421" i="5" s="1"/>
  <c r="AF413" i="5"/>
  <c r="B413" i="5" s="1"/>
  <c r="AG411" i="5"/>
  <c r="C411" i="5" s="1"/>
  <c r="AE399" i="5"/>
  <c r="AG399" i="5"/>
  <c r="C399" i="5" s="1"/>
  <c r="AG397" i="5"/>
  <c r="C397" i="5" s="1"/>
  <c r="AE397" i="5"/>
  <c r="AG470" i="5"/>
  <c r="C470" i="5" s="1"/>
  <c r="AE469" i="5"/>
  <c r="AF467" i="5"/>
  <c r="B467" i="5" s="1"/>
  <c r="AG462" i="5"/>
  <c r="C462" i="5" s="1"/>
  <c r="AE461" i="5"/>
  <c r="AF459" i="5"/>
  <c r="B459" i="5" s="1"/>
  <c r="AG454" i="5"/>
  <c r="C454" i="5" s="1"/>
  <c r="AE453" i="5"/>
  <c r="AF451" i="5"/>
  <c r="B451" i="5" s="1"/>
  <c r="AG446" i="5"/>
  <c r="C446" i="5" s="1"/>
  <c r="AE445" i="5"/>
  <c r="AF443" i="5"/>
  <c r="B443" i="5" s="1"/>
  <c r="AG438" i="5"/>
  <c r="C438" i="5" s="1"/>
  <c r="AE437" i="5"/>
  <c r="AF435" i="5"/>
  <c r="B435" i="5" s="1"/>
  <c r="AG430" i="5"/>
  <c r="C430" i="5" s="1"/>
  <c r="AE429" i="5"/>
  <c r="AF427" i="5"/>
  <c r="B427" i="5" s="1"/>
  <c r="AG422" i="5"/>
  <c r="C422" i="5" s="1"/>
  <c r="AE421" i="5"/>
  <c r="AF419" i="5"/>
  <c r="B419" i="5" s="1"/>
  <c r="AG414" i="5"/>
  <c r="C414" i="5" s="1"/>
  <c r="AE413" i="5"/>
  <c r="AF411" i="5"/>
  <c r="B411" i="5" s="1"/>
  <c r="AF407" i="5"/>
  <c r="B407" i="5" s="1"/>
  <c r="AF405" i="5"/>
  <c r="B405" i="5" s="1"/>
  <c r="AE395" i="5"/>
  <c r="AG395" i="5"/>
  <c r="C395" i="5" s="1"/>
  <c r="AG393" i="5"/>
  <c r="C393" i="5" s="1"/>
  <c r="AE393" i="5"/>
  <c r="AF391" i="5"/>
  <c r="B391" i="5" s="1"/>
  <c r="AF389" i="5"/>
  <c r="B389" i="5" s="1"/>
  <c r="AE383" i="5"/>
  <c r="AF383" i="5"/>
  <c r="B383" i="5" s="1"/>
  <c r="AG383" i="5"/>
  <c r="C383" i="5" s="1"/>
  <c r="AE375" i="5"/>
  <c r="AF375" i="5"/>
  <c r="B375" i="5" s="1"/>
  <c r="AG375" i="5"/>
  <c r="C375" i="5" s="1"/>
  <c r="AE367" i="5"/>
  <c r="AF367" i="5"/>
  <c r="B367" i="5" s="1"/>
  <c r="AG367" i="5"/>
  <c r="C367" i="5" s="1"/>
  <c r="AE359" i="5"/>
  <c r="AF359" i="5"/>
  <c r="B359" i="5" s="1"/>
  <c r="AG359" i="5"/>
  <c r="C359" i="5" s="1"/>
  <c r="AE351" i="5"/>
  <c r="AF351" i="5"/>
  <c r="B351" i="5" s="1"/>
  <c r="AG351" i="5"/>
  <c r="C351" i="5" s="1"/>
  <c r="AE343" i="5"/>
  <c r="AF343" i="5"/>
  <c r="B343" i="5" s="1"/>
  <c r="AG343" i="5"/>
  <c r="C343" i="5" s="1"/>
  <c r="AE335" i="5"/>
  <c r="AF335" i="5"/>
  <c r="B335" i="5" s="1"/>
  <c r="AG335" i="5"/>
  <c r="C335" i="5" s="1"/>
  <c r="AE327" i="5"/>
  <c r="AF327" i="5"/>
  <c r="B327" i="5" s="1"/>
  <c r="AG327" i="5"/>
  <c r="C327" i="5" s="1"/>
  <c r="AE319" i="5"/>
  <c r="AF319" i="5"/>
  <c r="B319" i="5" s="1"/>
  <c r="AG319" i="5"/>
  <c r="C319" i="5" s="1"/>
  <c r="AG315" i="5"/>
  <c r="C315" i="5" s="1"/>
  <c r="AE315" i="5"/>
  <c r="AF315" i="5"/>
  <c r="B315" i="5" s="1"/>
  <c r="AG299" i="5"/>
  <c r="C299" i="5" s="1"/>
  <c r="AE299" i="5"/>
  <c r="AF299" i="5"/>
  <c r="B299" i="5" s="1"/>
  <c r="AG283" i="5"/>
  <c r="C283" i="5" s="1"/>
  <c r="AE283" i="5"/>
  <c r="AF283" i="5"/>
  <c r="B283" i="5" s="1"/>
  <c r="AE265" i="5"/>
  <c r="AG265" i="5"/>
  <c r="C265" i="5" s="1"/>
  <c r="AF265" i="5"/>
  <c r="B265" i="5" s="1"/>
  <c r="AG253" i="5"/>
  <c r="C253" i="5" s="1"/>
  <c r="AE253" i="5"/>
  <c r="AF253" i="5"/>
  <c r="B253" i="5" s="1"/>
  <c r="AG245" i="5"/>
  <c r="C245" i="5" s="1"/>
  <c r="AE245" i="5"/>
  <c r="AF245" i="5"/>
  <c r="B245" i="5" s="1"/>
  <c r="AG237" i="5"/>
  <c r="C237" i="5" s="1"/>
  <c r="AE237" i="5"/>
  <c r="AF237" i="5"/>
  <c r="B237" i="5" s="1"/>
  <c r="AG229" i="5"/>
  <c r="C229" i="5" s="1"/>
  <c r="AE229" i="5"/>
  <c r="AF229" i="5"/>
  <c r="B229" i="5" s="1"/>
  <c r="AG221" i="5"/>
  <c r="C221" i="5" s="1"/>
  <c r="AE221" i="5"/>
  <c r="AF221" i="5"/>
  <c r="B221" i="5" s="1"/>
  <c r="AG213" i="5"/>
  <c r="C213" i="5" s="1"/>
  <c r="AE213" i="5"/>
  <c r="AF213" i="5"/>
  <c r="B213" i="5" s="1"/>
  <c r="AG173" i="5"/>
  <c r="C173" i="5" s="1"/>
  <c r="AE173" i="5"/>
  <c r="AF173" i="5"/>
  <c r="B173" i="5" s="1"/>
  <c r="AE385" i="5"/>
  <c r="AE381" i="5"/>
  <c r="AE377" i="5"/>
  <c r="AE373" i="5"/>
  <c r="AE369" i="5"/>
  <c r="AE365" i="5"/>
  <c r="AE361" i="5"/>
  <c r="AE357" i="5"/>
  <c r="AE353" i="5"/>
  <c r="AE349" i="5"/>
  <c r="AE345" i="5"/>
  <c r="AE341" i="5"/>
  <c r="AE337" i="5"/>
  <c r="AE333" i="5"/>
  <c r="AE329" i="5"/>
  <c r="AE325" i="5"/>
  <c r="AE321" i="5"/>
  <c r="AE317" i="5"/>
  <c r="AE311" i="5"/>
  <c r="AF309" i="5"/>
  <c r="B309" i="5" s="1"/>
  <c r="AE303" i="5"/>
  <c r="AF301" i="5"/>
  <c r="B301" i="5" s="1"/>
  <c r="AE295" i="5"/>
  <c r="AF293" i="5"/>
  <c r="B293" i="5" s="1"/>
  <c r="AE287" i="5"/>
  <c r="AF285" i="5"/>
  <c r="B285" i="5" s="1"/>
  <c r="AE279" i="5"/>
  <c r="AF277" i="5"/>
  <c r="B277" i="5" s="1"/>
  <c r="AE271" i="5"/>
  <c r="AE261" i="5"/>
  <c r="AG261" i="5"/>
  <c r="C261" i="5" s="1"/>
  <c r="AE259" i="5"/>
  <c r="AF259" i="5"/>
  <c r="B259" i="5" s="1"/>
  <c r="AE251" i="5"/>
  <c r="AF251" i="5"/>
  <c r="B251" i="5" s="1"/>
  <c r="AE243" i="5"/>
  <c r="AF243" i="5"/>
  <c r="B243" i="5" s="1"/>
  <c r="AE235" i="5"/>
  <c r="AF235" i="5"/>
  <c r="B235" i="5" s="1"/>
  <c r="AE227" i="5"/>
  <c r="AF227" i="5"/>
  <c r="B227" i="5" s="1"/>
  <c r="AE219" i="5"/>
  <c r="AF219" i="5"/>
  <c r="B219" i="5" s="1"/>
  <c r="AE211" i="5"/>
  <c r="AF211" i="5"/>
  <c r="B211" i="5" s="1"/>
  <c r="AG197" i="5"/>
  <c r="C197" i="5" s="1"/>
  <c r="AE197" i="5"/>
  <c r="AF197" i="5"/>
  <c r="B197" i="5" s="1"/>
  <c r="AE255" i="5"/>
  <c r="AF255" i="5"/>
  <c r="B255" i="5" s="1"/>
  <c r="AE247" i="5"/>
  <c r="AF247" i="5"/>
  <c r="B247" i="5" s="1"/>
  <c r="AE239" i="5"/>
  <c r="AF239" i="5"/>
  <c r="B239" i="5" s="1"/>
  <c r="AE231" i="5"/>
  <c r="AF231" i="5"/>
  <c r="B231" i="5" s="1"/>
  <c r="AE223" i="5"/>
  <c r="AF223" i="5"/>
  <c r="B223" i="5" s="1"/>
  <c r="AE215" i="5"/>
  <c r="AF215" i="5"/>
  <c r="B215" i="5" s="1"/>
  <c r="AE203" i="5"/>
  <c r="AF203" i="5"/>
  <c r="B203" i="5" s="1"/>
  <c r="AG203" i="5"/>
  <c r="C203" i="5" s="1"/>
  <c r="AE187" i="5"/>
  <c r="AF187" i="5"/>
  <c r="B187" i="5" s="1"/>
  <c r="AG187" i="5"/>
  <c r="C187" i="5" s="1"/>
  <c r="AG181" i="5"/>
  <c r="C181" i="5" s="1"/>
  <c r="AE181" i="5"/>
  <c r="AF181" i="5"/>
  <c r="B181" i="5" s="1"/>
  <c r="AE179" i="5"/>
  <c r="AF179" i="5"/>
  <c r="B179" i="5" s="1"/>
  <c r="AG179" i="5"/>
  <c r="C179" i="5" s="1"/>
  <c r="AG316" i="5"/>
  <c r="C316" i="5" s="1"/>
  <c r="AG308" i="5"/>
  <c r="C308" i="5" s="1"/>
  <c r="AG300" i="5"/>
  <c r="C300" i="5" s="1"/>
  <c r="AG292" i="5"/>
  <c r="C292" i="5" s="1"/>
  <c r="AG284" i="5"/>
  <c r="C284" i="5" s="1"/>
  <c r="AG276" i="5"/>
  <c r="C276" i="5" s="1"/>
  <c r="AG268" i="5"/>
  <c r="C268" i="5" s="1"/>
  <c r="AG267" i="5"/>
  <c r="C267" i="5" s="1"/>
  <c r="AE267" i="5"/>
  <c r="AG205" i="5"/>
  <c r="C205" i="5" s="1"/>
  <c r="AE205" i="5"/>
  <c r="AF205" i="5"/>
  <c r="B205" i="5" s="1"/>
  <c r="AG189" i="5"/>
  <c r="C189" i="5" s="1"/>
  <c r="AE189" i="5"/>
  <c r="AF189" i="5"/>
  <c r="B189" i="5" s="1"/>
  <c r="AF207" i="5"/>
  <c r="B207" i="5" s="1"/>
  <c r="AE201" i="5"/>
  <c r="AF199" i="5"/>
  <c r="B199" i="5" s="1"/>
  <c r="AE193" i="5"/>
  <c r="AF191" i="5"/>
  <c r="B191" i="5" s="1"/>
  <c r="AE185" i="5"/>
  <c r="AF183" i="5"/>
  <c r="B183" i="5" s="1"/>
  <c r="AG178" i="5"/>
  <c r="C178" i="5" s="1"/>
  <c r="AE177" i="5"/>
  <c r="AF175" i="5"/>
  <c r="B175" i="5" s="1"/>
  <c r="AG170" i="5"/>
  <c r="C170" i="5" s="1"/>
  <c r="AE169" i="5"/>
  <c r="AG167" i="5"/>
  <c r="C167" i="5" s="1"/>
  <c r="AF167" i="5"/>
  <c r="B167" i="5" s="1"/>
  <c r="AE157" i="5"/>
  <c r="AG157" i="5"/>
  <c r="C157" i="5" s="1"/>
  <c r="AF156" i="5"/>
  <c r="B156" i="5" s="1"/>
  <c r="AE156" i="5"/>
  <c r="AG156" i="5"/>
  <c r="C156" i="5" s="1"/>
  <c r="AG151" i="5"/>
  <c r="C151" i="5" s="1"/>
  <c r="AF151" i="5"/>
  <c r="B151" i="5" s="1"/>
  <c r="AE141" i="5"/>
  <c r="AG141" i="5"/>
  <c r="C141" i="5" s="1"/>
  <c r="AF140" i="5"/>
  <c r="B140" i="5" s="1"/>
  <c r="AE140" i="5"/>
  <c r="AG140" i="5"/>
  <c r="C140" i="5" s="1"/>
  <c r="AG135" i="5"/>
  <c r="C135" i="5" s="1"/>
  <c r="AF135" i="5"/>
  <c r="B135" i="5" s="1"/>
  <c r="AE135" i="5"/>
  <c r="AF124" i="5"/>
  <c r="B124" i="5" s="1"/>
  <c r="AE124" i="5"/>
  <c r="AG124" i="5"/>
  <c r="C124" i="5" s="1"/>
  <c r="AG254" i="5"/>
  <c r="C254" i="5" s="1"/>
  <c r="AG246" i="5"/>
  <c r="C246" i="5" s="1"/>
  <c r="AG238" i="5"/>
  <c r="C238" i="5" s="1"/>
  <c r="AG230" i="5"/>
  <c r="C230" i="5" s="1"/>
  <c r="AG222" i="5"/>
  <c r="C222" i="5" s="1"/>
  <c r="AG214" i="5"/>
  <c r="C214" i="5" s="1"/>
  <c r="AG206" i="5"/>
  <c r="C206" i="5" s="1"/>
  <c r="AG198" i="5"/>
  <c r="C198" i="5" s="1"/>
  <c r="AG190" i="5"/>
  <c r="C190" i="5" s="1"/>
  <c r="AE165" i="5"/>
  <c r="AG165" i="5"/>
  <c r="C165" i="5" s="1"/>
  <c r="AF164" i="5"/>
  <c r="B164" i="5" s="1"/>
  <c r="AE164" i="5"/>
  <c r="AG164" i="5"/>
  <c r="C164" i="5" s="1"/>
  <c r="AG159" i="5"/>
  <c r="C159" i="5" s="1"/>
  <c r="AF159" i="5"/>
  <c r="B159" i="5" s="1"/>
  <c r="AE149" i="5"/>
  <c r="AG149" i="5"/>
  <c r="C149" i="5" s="1"/>
  <c r="AF148" i="5"/>
  <c r="B148" i="5" s="1"/>
  <c r="AE148" i="5"/>
  <c r="AG148" i="5"/>
  <c r="C148" i="5" s="1"/>
  <c r="AG143" i="5"/>
  <c r="C143" i="5" s="1"/>
  <c r="AF143" i="5"/>
  <c r="B143" i="5" s="1"/>
  <c r="AE125" i="5"/>
  <c r="AG125" i="5"/>
  <c r="C125" i="5" s="1"/>
  <c r="AF125" i="5"/>
  <c r="B125" i="5" s="1"/>
  <c r="AG95" i="5"/>
  <c r="C95" i="5" s="1"/>
  <c r="AE95" i="5"/>
  <c r="AF95" i="5"/>
  <c r="B95" i="5" s="1"/>
  <c r="AE163" i="5"/>
  <c r="AF161" i="5"/>
  <c r="B161" i="5" s="1"/>
  <c r="AE155" i="5"/>
  <c r="AF153" i="5"/>
  <c r="B153" i="5" s="1"/>
  <c r="AE147" i="5"/>
  <c r="AF145" i="5"/>
  <c r="B145" i="5" s="1"/>
  <c r="AE139" i="5"/>
  <c r="AE133" i="5"/>
  <c r="AG133" i="5"/>
  <c r="C133" i="5" s="1"/>
  <c r="AG127" i="5"/>
  <c r="C127" i="5" s="1"/>
  <c r="AF127" i="5"/>
  <c r="B127" i="5" s="1"/>
  <c r="AF116" i="5"/>
  <c r="B116" i="5" s="1"/>
  <c r="AE116" i="5"/>
  <c r="AG116" i="5"/>
  <c r="C116" i="5" s="1"/>
  <c r="AE101" i="5"/>
  <c r="AF101" i="5"/>
  <c r="B101" i="5" s="1"/>
  <c r="AG101" i="5"/>
  <c r="C101" i="5" s="1"/>
  <c r="AF132" i="5"/>
  <c r="B132" i="5" s="1"/>
  <c r="AE132" i="5"/>
  <c r="AF108" i="5"/>
  <c r="B108" i="5" s="1"/>
  <c r="AE108" i="5"/>
  <c r="AG108" i="5"/>
  <c r="C108" i="5" s="1"/>
  <c r="AF88" i="5"/>
  <c r="B88" i="5" s="1"/>
  <c r="AG88" i="5"/>
  <c r="C88" i="5" s="1"/>
  <c r="AE88" i="5"/>
  <c r="AE104" i="5"/>
  <c r="AE93" i="5"/>
  <c r="AF93" i="5"/>
  <c r="B93" i="5" s="1"/>
  <c r="AE91" i="5"/>
  <c r="AG83" i="5"/>
  <c r="C83" i="5" s="1"/>
  <c r="AF83" i="5"/>
  <c r="B83" i="5" s="1"/>
  <c r="AF67" i="5"/>
  <c r="B67" i="5" s="1"/>
  <c r="AG67" i="5"/>
  <c r="C67" i="5" s="1"/>
  <c r="AE67" i="5"/>
  <c r="AE64" i="5"/>
  <c r="AF64" i="5"/>
  <c r="B64" i="5" s="1"/>
  <c r="AG64" i="5"/>
  <c r="C64" i="5" s="1"/>
  <c r="AF119" i="5"/>
  <c r="B119" i="5" s="1"/>
  <c r="AG117" i="5"/>
  <c r="C117" i="5" s="1"/>
  <c r="AF111" i="5"/>
  <c r="B111" i="5" s="1"/>
  <c r="AG109" i="5"/>
  <c r="C109" i="5" s="1"/>
  <c r="AG103" i="5"/>
  <c r="C103" i="5" s="1"/>
  <c r="AE103" i="5"/>
  <c r="AF99" i="5"/>
  <c r="B99" i="5" s="1"/>
  <c r="AG97" i="5"/>
  <c r="C97" i="5" s="1"/>
  <c r="AF96" i="5"/>
  <c r="B96" i="5" s="1"/>
  <c r="AG96" i="5"/>
  <c r="C96" i="5" s="1"/>
  <c r="AE81" i="5"/>
  <c r="AG81" i="5"/>
  <c r="C81" i="5" s="1"/>
  <c r="AF80" i="5"/>
  <c r="B80" i="5" s="1"/>
  <c r="AE80" i="5"/>
  <c r="AG80" i="5"/>
  <c r="C80" i="5" s="1"/>
  <c r="AG75" i="5"/>
  <c r="C75" i="5" s="1"/>
  <c r="AF75" i="5"/>
  <c r="B75" i="5" s="1"/>
  <c r="AF63" i="5"/>
  <c r="B63" i="5" s="1"/>
  <c r="AG63" i="5"/>
  <c r="C63" i="5" s="1"/>
  <c r="AE60" i="5"/>
  <c r="AF60" i="5"/>
  <c r="B60" i="5" s="1"/>
  <c r="AE55" i="5"/>
  <c r="AF55" i="5"/>
  <c r="B55" i="5" s="1"/>
  <c r="AG55" i="5"/>
  <c r="C55" i="5" s="1"/>
  <c r="AE87" i="5"/>
  <c r="AF85" i="5"/>
  <c r="B85" i="5" s="1"/>
  <c r="AE79" i="5"/>
  <c r="AF77" i="5"/>
  <c r="B77" i="5" s="1"/>
  <c r="AE72" i="5"/>
  <c r="AF72" i="5"/>
  <c r="B72" i="5" s="1"/>
  <c r="AF59" i="5"/>
  <c r="B59" i="5" s="1"/>
  <c r="AG59" i="5"/>
  <c r="C59" i="5" s="1"/>
  <c r="AF71" i="5"/>
  <c r="B71" i="5" s="1"/>
  <c r="AG71" i="5"/>
  <c r="C71" i="5" s="1"/>
  <c r="AE68" i="5"/>
  <c r="AF68" i="5"/>
  <c r="B68" i="5" s="1"/>
  <c r="AE51" i="5"/>
  <c r="AF51" i="5"/>
  <c r="B51" i="5" s="1"/>
  <c r="AG51" i="5"/>
  <c r="C51" i="5" s="1"/>
  <c r="AF56" i="5"/>
  <c r="B56" i="5" s="1"/>
  <c r="AF52" i="5"/>
  <c r="B52" i="5" s="1"/>
  <c r="AF48" i="5"/>
  <c r="B48" i="5" s="1"/>
  <c r="AG44" i="5"/>
  <c r="C44" i="5" s="1"/>
  <c r="AG40" i="5"/>
  <c r="C40" i="5" s="1"/>
  <c r="AG36" i="5"/>
  <c r="C36" i="5" s="1"/>
  <c r="AG47" i="5"/>
  <c r="C47" i="5" s="1"/>
  <c r="AF44" i="5"/>
  <c r="B44" i="5" s="1"/>
  <c r="AG43" i="5"/>
  <c r="C43" i="5" s="1"/>
  <c r="AF40" i="5"/>
  <c r="B40" i="5" s="1"/>
  <c r="AG39" i="5"/>
  <c r="C39" i="5" s="1"/>
  <c r="AF36" i="5"/>
  <c r="B36" i="5" s="1"/>
  <c r="AG35" i="5"/>
  <c r="C35" i="5" s="1"/>
  <c r="AF32" i="5"/>
  <c r="B32" i="5" s="1"/>
  <c r="AG31" i="5"/>
  <c r="AF28" i="5"/>
  <c r="B28" i="5" s="1"/>
  <c r="AG27" i="5"/>
  <c r="AF24" i="5"/>
  <c r="B24" i="5" s="1"/>
  <c r="AG23" i="5"/>
  <c r="AF20" i="5"/>
  <c r="B20" i="5" s="1"/>
  <c r="AG19" i="5"/>
  <c r="AF16" i="5"/>
  <c r="B16" i="5" s="1"/>
  <c r="AF31" i="5"/>
  <c r="B31" i="5" s="1"/>
  <c r="AF27" i="5"/>
  <c r="B27" i="5" s="1"/>
  <c r="AF23" i="5"/>
  <c r="B23" i="5" s="1"/>
  <c r="AF19" i="5"/>
  <c r="B19" i="5" s="1"/>
  <c r="C22" i="5" l="1"/>
  <c r="C23" i="5"/>
  <c r="C19" i="5"/>
  <c r="C27" i="5"/>
  <c r="C20" i="5"/>
  <c r="C25" i="5"/>
  <c r="C26" i="5"/>
  <c r="C18" i="5"/>
  <c r="C30" i="5"/>
  <c r="C31" i="5"/>
  <c r="C16" i="5"/>
  <c r="C24" i="5"/>
  <c r="C21" i="5"/>
  <c r="C17" i="5"/>
  <c r="C29" i="5"/>
  <c r="K17" i="36"/>
  <c r="L17" i="36"/>
  <c r="K19" i="36"/>
  <c r="P19" i="36"/>
  <c r="L15" i="36"/>
  <c r="P15" i="36"/>
  <c r="K15" i="36"/>
  <c r="O18" i="36" l="1"/>
  <c r="E18" i="3"/>
  <c r="E17" i="3"/>
  <c r="E16" i="3"/>
  <c r="E15" i="3"/>
  <c r="E14" i="3"/>
  <c r="E13" i="3"/>
  <c r="E12" i="3"/>
  <c r="E11" i="3"/>
  <c r="E3" i="3"/>
  <c r="O15" i="36" s="1"/>
  <c r="E4" i="3"/>
  <c r="O16" i="36" s="1"/>
  <c r="E5" i="3"/>
  <c r="E6" i="3"/>
  <c r="E7" i="3"/>
  <c r="E2" i="3"/>
  <c r="O14" i="36" s="1"/>
  <c r="E8" i="3"/>
  <c r="O19" i="36" l="1"/>
  <c r="AD3" i="3" l="1"/>
  <c r="AD4" i="3"/>
  <c r="AD5" i="3"/>
  <c r="AD6" i="3"/>
  <c r="AD7" i="3"/>
  <c r="AD8" i="3"/>
  <c r="AD9" i="3"/>
  <c r="AD10" i="3"/>
  <c r="AD11" i="3"/>
  <c r="AD12" i="3"/>
  <c r="AD13" i="3"/>
  <c r="AD2" i="3"/>
  <c r="A5" i="5"/>
  <c r="A6" i="5" s="1"/>
  <c r="A7" i="5" s="1"/>
  <c r="A8" i="5" s="1"/>
  <c r="A9" i="5" s="1"/>
  <c r="A10" i="5" s="1"/>
  <c r="A11" i="5" s="1"/>
  <c r="A12" i="5" s="1"/>
  <c r="A13" i="5" s="1"/>
  <c r="A14" i="5" s="1"/>
  <c r="A15" i="5" s="1"/>
  <c r="A16" i="5" s="1"/>
  <c r="A17" i="5" s="1"/>
  <c r="A18" i="5" s="1"/>
  <c r="A19" i="5" s="1"/>
  <c r="A20" i="5" s="1"/>
  <c r="A21" i="5" s="1"/>
  <c r="A22" i="5" s="1"/>
  <c r="A23" i="5" s="1"/>
  <c r="A24" i="5" s="1"/>
  <c r="A25" i="5" s="1"/>
  <c r="A26" i="5" s="1"/>
  <c r="A27" i="5" s="1"/>
  <c r="A28" i="5" s="1"/>
  <c r="A29" i="5" s="1"/>
  <c r="A30" i="5" s="1"/>
  <c r="A31" i="5" s="1"/>
  <c r="A32" i="5" s="1"/>
  <c r="A33" i="5" s="1"/>
  <c r="A34" i="5" s="1"/>
  <c r="A35" i="5" s="1"/>
  <c r="A36" i="5" s="1"/>
  <c r="A37" i="5" s="1"/>
  <c r="A38" i="5" s="1"/>
  <c r="A39" i="5" s="1"/>
  <c r="A40" i="5" s="1"/>
  <c r="A41" i="5" s="1"/>
  <c r="A42" i="5" s="1"/>
  <c r="A43" i="5" s="1"/>
  <c r="A44" i="5" s="1"/>
  <c r="A45" i="5" s="1"/>
  <c r="A46" i="5" s="1"/>
  <c r="A47" i="5" s="1"/>
  <c r="A48" i="5" s="1"/>
  <c r="A49" i="5" s="1"/>
  <c r="A50" i="5" s="1"/>
  <c r="A51" i="5" s="1"/>
  <c r="A52" i="5" s="1"/>
  <c r="A53" i="5" s="1"/>
  <c r="A54" i="5" s="1"/>
  <c r="A55" i="5" s="1"/>
  <c r="A56" i="5" s="1"/>
  <c r="A57" i="5" s="1"/>
  <c r="A58" i="5" s="1"/>
  <c r="A59" i="5" s="1"/>
  <c r="A60" i="5" s="1"/>
  <c r="A61" i="5" s="1"/>
  <c r="A62" i="5" s="1"/>
  <c r="A63" i="5" s="1"/>
  <c r="A64" i="5" s="1"/>
  <c r="A65" i="5" s="1"/>
  <c r="A66" i="5" s="1"/>
  <c r="A67" i="5" s="1"/>
  <c r="A68" i="5" s="1"/>
  <c r="A69" i="5" s="1"/>
  <c r="A70" i="5" s="1"/>
  <c r="A71" i="5" s="1"/>
  <c r="A72" i="5" s="1"/>
  <c r="A73" i="5" s="1"/>
  <c r="A74" i="5" s="1"/>
  <c r="A75" i="5" s="1"/>
  <c r="A76" i="5" s="1"/>
  <c r="A77" i="5" s="1"/>
  <c r="A78" i="5" s="1"/>
  <c r="A79" i="5" s="1"/>
  <c r="A80" i="5" s="1"/>
  <c r="A81" i="5" s="1"/>
  <c r="A82" i="5" s="1"/>
  <c r="A83" i="5" s="1"/>
  <c r="A84" i="5" s="1"/>
  <c r="A85" i="5" s="1"/>
  <c r="A86" i="5" s="1"/>
  <c r="A87" i="5" s="1"/>
  <c r="A88" i="5" s="1"/>
  <c r="A89" i="5" s="1"/>
  <c r="A90" i="5" s="1"/>
  <c r="A91" i="5" s="1"/>
  <c r="A92" i="5" s="1"/>
  <c r="A93" i="5" s="1"/>
  <c r="A94" i="5" s="1"/>
  <c r="A95" i="5" s="1"/>
  <c r="A96" i="5" s="1"/>
  <c r="A97" i="5" s="1"/>
  <c r="A98" i="5" s="1"/>
  <c r="A99" i="5" s="1"/>
  <c r="A100" i="5" s="1"/>
  <c r="A101" i="5" s="1"/>
  <c r="A102" i="5" s="1"/>
  <c r="A103" i="5" s="1"/>
  <c r="A104" i="5" s="1"/>
  <c r="A105" i="5" s="1"/>
  <c r="A106" i="5" s="1"/>
  <c r="A107" i="5" s="1"/>
  <c r="A108" i="5" s="1"/>
  <c r="A109" i="5" s="1"/>
  <c r="A110" i="5" s="1"/>
  <c r="A111" i="5" s="1"/>
  <c r="A112" i="5" s="1"/>
  <c r="A113" i="5" s="1"/>
  <c r="A114" i="5" s="1"/>
  <c r="A115" i="5" s="1"/>
  <c r="A116" i="5" s="1"/>
  <c r="A117" i="5" s="1"/>
  <c r="A118" i="5" s="1"/>
  <c r="A119" i="5" s="1"/>
  <c r="A120" i="5" s="1"/>
  <c r="A121" i="5" s="1"/>
  <c r="A122" i="5" s="1"/>
  <c r="A123" i="5" s="1"/>
  <c r="A124" i="5" s="1"/>
  <c r="A125" i="5" s="1"/>
  <c r="A126" i="5" s="1"/>
  <c r="A127" i="5" s="1"/>
  <c r="A128" i="5" s="1"/>
  <c r="A129" i="5" s="1"/>
  <c r="A130" i="5" s="1"/>
  <c r="A131" i="5" s="1"/>
  <c r="A132" i="5" s="1"/>
  <c r="A133" i="5" s="1"/>
  <c r="A134" i="5" s="1"/>
  <c r="A135" i="5" s="1"/>
  <c r="A136" i="5" s="1"/>
  <c r="A137" i="5" s="1"/>
  <c r="A138" i="5" s="1"/>
  <c r="A139" i="5" s="1"/>
  <c r="A140" i="5" s="1"/>
  <c r="A141" i="5" s="1"/>
  <c r="A142" i="5" s="1"/>
  <c r="A143" i="5" s="1"/>
  <c r="A144" i="5" s="1"/>
  <c r="A145" i="5" s="1"/>
  <c r="A146" i="5" s="1"/>
  <c r="A147" i="5" s="1"/>
  <c r="A148" i="5" s="1"/>
  <c r="A149" i="5" s="1"/>
  <c r="A150" i="5" s="1"/>
  <c r="A151" i="5" s="1"/>
  <c r="A152" i="5" s="1"/>
  <c r="A153" i="5" s="1"/>
  <c r="A154" i="5" s="1"/>
  <c r="A155" i="5" s="1"/>
  <c r="A156" i="5" s="1"/>
  <c r="A157" i="5" s="1"/>
  <c r="A158" i="5" s="1"/>
  <c r="A159" i="5" s="1"/>
  <c r="A160" i="5" s="1"/>
  <c r="A161" i="5" s="1"/>
  <c r="A162" i="5" s="1"/>
  <c r="A163" i="5" s="1"/>
  <c r="A164" i="5" s="1"/>
  <c r="A165" i="5" s="1"/>
  <c r="A166" i="5" s="1"/>
  <c r="A167" i="5" s="1"/>
  <c r="A168" i="5" s="1"/>
  <c r="A169" i="5" s="1"/>
  <c r="A170" i="5" s="1"/>
  <c r="A171" i="5" s="1"/>
  <c r="A172" i="5" s="1"/>
  <c r="A173" i="5" s="1"/>
  <c r="A174" i="5" s="1"/>
  <c r="A175" i="5" s="1"/>
  <c r="A176" i="5" s="1"/>
  <c r="A177" i="5" s="1"/>
  <c r="A178" i="5" s="1"/>
  <c r="A179" i="5" s="1"/>
  <c r="A180" i="5" s="1"/>
  <c r="A181" i="5" s="1"/>
  <c r="A182" i="5" s="1"/>
  <c r="A183" i="5" s="1"/>
  <c r="A184" i="5" s="1"/>
  <c r="A185" i="5" s="1"/>
  <c r="A186" i="5" s="1"/>
  <c r="A187" i="5" s="1"/>
  <c r="A188" i="5" s="1"/>
  <c r="A189" i="5" s="1"/>
  <c r="A190" i="5" s="1"/>
  <c r="A191" i="5" s="1"/>
  <c r="A192" i="5" s="1"/>
  <c r="A193" i="5" s="1"/>
  <c r="A194" i="5" s="1"/>
  <c r="A195" i="5" s="1"/>
  <c r="A196" i="5" s="1"/>
  <c r="A197" i="5" s="1"/>
  <c r="A198" i="5" s="1"/>
  <c r="A199" i="5" s="1"/>
  <c r="A200" i="5" s="1"/>
  <c r="A201" i="5" s="1"/>
  <c r="A202" i="5" s="1"/>
  <c r="A203" i="5" s="1"/>
  <c r="A204" i="5" s="1"/>
  <c r="A205" i="5" s="1"/>
  <c r="A206" i="5" s="1"/>
  <c r="A207" i="5" s="1"/>
  <c r="A208" i="5" s="1"/>
  <c r="A209" i="5" s="1"/>
  <c r="A210" i="5" s="1"/>
  <c r="A211" i="5" s="1"/>
  <c r="A212" i="5" s="1"/>
  <c r="A213" i="5" s="1"/>
  <c r="A214" i="5" s="1"/>
  <c r="A215" i="5" s="1"/>
  <c r="A216" i="5" s="1"/>
  <c r="A217" i="5" s="1"/>
  <c r="A218" i="5" s="1"/>
  <c r="A219" i="5" s="1"/>
  <c r="A220" i="5" s="1"/>
  <c r="A221" i="5" s="1"/>
  <c r="A222" i="5" s="1"/>
  <c r="A223" i="5" s="1"/>
  <c r="A224" i="5" s="1"/>
  <c r="A225" i="5" s="1"/>
  <c r="A226" i="5" s="1"/>
  <c r="A227" i="5" s="1"/>
  <c r="A228" i="5" s="1"/>
  <c r="A229" i="5" s="1"/>
  <c r="A230" i="5" s="1"/>
  <c r="A231" i="5" s="1"/>
  <c r="A232" i="5" s="1"/>
  <c r="A233" i="5" s="1"/>
  <c r="A234" i="5" s="1"/>
  <c r="A235" i="5" s="1"/>
  <c r="A236" i="5" s="1"/>
  <c r="A237" i="5" s="1"/>
  <c r="A238" i="5" s="1"/>
  <c r="A239" i="5" s="1"/>
  <c r="A240" i="5" s="1"/>
  <c r="A241" i="5" s="1"/>
  <c r="A242" i="5" s="1"/>
  <c r="A243" i="5" s="1"/>
  <c r="A244" i="5" s="1"/>
  <c r="A245" i="5" s="1"/>
  <c r="A246" i="5" s="1"/>
  <c r="A247" i="5" s="1"/>
  <c r="A248" i="5" s="1"/>
  <c r="A249" i="5" s="1"/>
  <c r="A250" i="5" s="1"/>
  <c r="A251" i="5" s="1"/>
  <c r="A252" i="5" s="1"/>
  <c r="A253" i="5" s="1"/>
  <c r="A254" i="5" s="1"/>
  <c r="A255" i="5" s="1"/>
  <c r="A256" i="5" s="1"/>
  <c r="A257" i="5" s="1"/>
  <c r="A258" i="5" s="1"/>
  <c r="A259" i="5" s="1"/>
  <c r="A260" i="5" s="1"/>
  <c r="A261" i="5" s="1"/>
  <c r="A262" i="5" s="1"/>
  <c r="A263" i="5" s="1"/>
  <c r="A264" i="5" s="1"/>
  <c r="A265" i="5" s="1"/>
  <c r="A266" i="5" s="1"/>
  <c r="A267" i="5" s="1"/>
  <c r="A268" i="5" s="1"/>
  <c r="A269" i="5" s="1"/>
  <c r="A270" i="5" s="1"/>
  <c r="A271" i="5" s="1"/>
  <c r="A272" i="5" s="1"/>
  <c r="A273" i="5" s="1"/>
  <c r="A274" i="5" s="1"/>
  <c r="A275" i="5" s="1"/>
  <c r="A276" i="5" s="1"/>
  <c r="A277" i="5" s="1"/>
  <c r="A278" i="5" s="1"/>
  <c r="A279" i="5" s="1"/>
  <c r="A280" i="5" s="1"/>
  <c r="A281" i="5" s="1"/>
  <c r="A282" i="5" s="1"/>
  <c r="A283" i="5" s="1"/>
  <c r="A284" i="5" s="1"/>
  <c r="A285" i="5" s="1"/>
  <c r="A286" i="5" s="1"/>
  <c r="A287" i="5" s="1"/>
  <c r="A288" i="5" s="1"/>
  <c r="A289" i="5" s="1"/>
  <c r="A290" i="5" s="1"/>
  <c r="A291" i="5" s="1"/>
  <c r="A292" i="5" s="1"/>
  <c r="A293" i="5" s="1"/>
  <c r="A294" i="5" s="1"/>
  <c r="A295" i="5" s="1"/>
  <c r="A296" i="5" s="1"/>
  <c r="A297" i="5" s="1"/>
  <c r="A298" i="5" s="1"/>
  <c r="A299" i="5" s="1"/>
  <c r="A300" i="5" s="1"/>
  <c r="A301" i="5" s="1"/>
  <c r="A302" i="5" s="1"/>
  <c r="A303" i="5" s="1"/>
  <c r="A304" i="5" s="1"/>
  <c r="A305" i="5" s="1"/>
  <c r="A306" i="5" s="1"/>
  <c r="A307" i="5" s="1"/>
  <c r="A308" i="5" s="1"/>
  <c r="A309" i="5" s="1"/>
  <c r="A310" i="5" s="1"/>
  <c r="A311" i="5" s="1"/>
  <c r="A312" i="5" s="1"/>
  <c r="A313" i="5" s="1"/>
  <c r="A314" i="5" s="1"/>
  <c r="A315" i="5" s="1"/>
  <c r="A316" i="5" s="1"/>
  <c r="A317" i="5" s="1"/>
  <c r="A318" i="5" s="1"/>
  <c r="A319" i="5" s="1"/>
  <c r="A320" i="5" s="1"/>
  <c r="A321" i="5" s="1"/>
  <c r="A322" i="5" s="1"/>
  <c r="A323" i="5" s="1"/>
  <c r="A324" i="5" s="1"/>
  <c r="A325" i="5" s="1"/>
  <c r="A326" i="5" s="1"/>
  <c r="A327" i="5" s="1"/>
  <c r="A328" i="5" s="1"/>
  <c r="A329" i="5" s="1"/>
  <c r="A330" i="5" s="1"/>
  <c r="A331" i="5" s="1"/>
  <c r="A332" i="5" s="1"/>
  <c r="A333" i="5" s="1"/>
  <c r="A334" i="5" s="1"/>
  <c r="A335" i="5" s="1"/>
  <c r="A336" i="5" s="1"/>
  <c r="A337" i="5" s="1"/>
  <c r="A338" i="5" s="1"/>
  <c r="A339" i="5" s="1"/>
  <c r="A340" i="5" s="1"/>
  <c r="A341" i="5" s="1"/>
  <c r="A342" i="5" s="1"/>
  <c r="A343" i="5" s="1"/>
  <c r="A344" i="5" s="1"/>
  <c r="A345" i="5" s="1"/>
  <c r="A346" i="5" s="1"/>
  <c r="A347" i="5" s="1"/>
  <c r="A348" i="5" s="1"/>
  <c r="A349" i="5" s="1"/>
  <c r="A350" i="5" s="1"/>
  <c r="A351" i="5" s="1"/>
  <c r="A352" i="5" s="1"/>
  <c r="A353" i="5" s="1"/>
  <c r="A354" i="5" s="1"/>
  <c r="A355" i="5" s="1"/>
  <c r="A356" i="5" s="1"/>
  <c r="A357" i="5" s="1"/>
  <c r="A358" i="5" s="1"/>
  <c r="A359" i="5" s="1"/>
  <c r="A360" i="5" s="1"/>
  <c r="A361" i="5" s="1"/>
  <c r="A362" i="5" s="1"/>
  <c r="A363" i="5" s="1"/>
  <c r="A364" i="5" s="1"/>
  <c r="A365" i="5" s="1"/>
  <c r="A366" i="5" s="1"/>
  <c r="A367" i="5" s="1"/>
  <c r="A368" i="5" s="1"/>
  <c r="A369" i="5" s="1"/>
  <c r="A370" i="5" s="1"/>
  <c r="A371" i="5" s="1"/>
  <c r="A372" i="5" s="1"/>
  <c r="A373" i="5" s="1"/>
  <c r="A374" i="5" s="1"/>
  <c r="A375" i="5" s="1"/>
  <c r="A376" i="5" s="1"/>
  <c r="A377" i="5" s="1"/>
  <c r="A378" i="5" s="1"/>
  <c r="A379" i="5" s="1"/>
  <c r="A380" i="5" s="1"/>
  <c r="A381" i="5" s="1"/>
  <c r="A382" i="5" s="1"/>
  <c r="A383" i="5" s="1"/>
  <c r="A384" i="5" s="1"/>
  <c r="A385" i="5" s="1"/>
  <c r="A386" i="5" s="1"/>
  <c r="A387" i="5" s="1"/>
  <c r="A388" i="5" s="1"/>
  <c r="A389" i="5" s="1"/>
  <c r="A390" i="5" s="1"/>
  <c r="A391" i="5" s="1"/>
  <c r="A392" i="5" s="1"/>
  <c r="A393" i="5" s="1"/>
  <c r="A394" i="5" s="1"/>
  <c r="A395" i="5" s="1"/>
  <c r="A396" i="5" s="1"/>
  <c r="A397" i="5" s="1"/>
  <c r="A398" i="5" s="1"/>
  <c r="A399" i="5" s="1"/>
  <c r="A400" i="5" s="1"/>
  <c r="A401" i="5" s="1"/>
  <c r="A402" i="5" s="1"/>
  <c r="A403" i="5" s="1"/>
  <c r="A404" i="5" s="1"/>
  <c r="A405" i="5" s="1"/>
  <c r="A406" i="5" s="1"/>
  <c r="A407" i="5" s="1"/>
  <c r="A408" i="5" s="1"/>
  <c r="A409" i="5" s="1"/>
  <c r="A410" i="5" s="1"/>
  <c r="A411" i="5" s="1"/>
  <c r="A412" i="5" s="1"/>
  <c r="A413" i="5" s="1"/>
  <c r="A414" i="5" s="1"/>
  <c r="A415" i="5" s="1"/>
  <c r="A416" i="5" s="1"/>
  <c r="A417" i="5" s="1"/>
  <c r="A418" i="5" s="1"/>
  <c r="A419" i="5" s="1"/>
  <c r="A420" i="5" s="1"/>
  <c r="A421" i="5" s="1"/>
  <c r="A422" i="5" s="1"/>
  <c r="A423" i="5" s="1"/>
  <c r="A424" i="5" s="1"/>
  <c r="A425" i="5" s="1"/>
  <c r="A426" i="5" s="1"/>
  <c r="A427" i="5" s="1"/>
  <c r="A428" i="5" s="1"/>
  <c r="A429" i="5" s="1"/>
  <c r="A430" i="5" s="1"/>
  <c r="A431" i="5" s="1"/>
  <c r="A432" i="5" s="1"/>
  <c r="A433" i="5" s="1"/>
  <c r="A434" i="5" s="1"/>
  <c r="A435" i="5" s="1"/>
  <c r="A436" i="5" s="1"/>
  <c r="A437" i="5" s="1"/>
  <c r="A438" i="5" s="1"/>
  <c r="A439" i="5" s="1"/>
  <c r="A440" i="5" s="1"/>
  <c r="A441" i="5" s="1"/>
  <c r="A442" i="5" s="1"/>
  <c r="A443" i="5" s="1"/>
  <c r="A444" i="5" s="1"/>
  <c r="A445" i="5" s="1"/>
  <c r="A446" i="5" s="1"/>
  <c r="A447" i="5" s="1"/>
  <c r="A448" i="5" s="1"/>
  <c r="A449" i="5" s="1"/>
  <c r="A450" i="5" s="1"/>
  <c r="A451" i="5" s="1"/>
  <c r="A452" i="5" s="1"/>
  <c r="A453" i="5" s="1"/>
  <c r="A454" i="5" s="1"/>
  <c r="A455" i="5" s="1"/>
  <c r="A456" i="5" s="1"/>
  <c r="A457" i="5" s="1"/>
  <c r="A458" i="5" s="1"/>
  <c r="A459" i="5" s="1"/>
  <c r="A460" i="5" s="1"/>
  <c r="A461" i="5" s="1"/>
  <c r="A462" i="5" s="1"/>
  <c r="A463" i="5" s="1"/>
  <c r="A464" i="5" s="1"/>
  <c r="A465" i="5" s="1"/>
  <c r="A466" i="5" s="1"/>
  <c r="A467" i="5" s="1"/>
  <c r="A468" i="5" s="1"/>
  <c r="A469" i="5" s="1"/>
  <c r="A470" i="5" s="1"/>
  <c r="AD14" i="5"/>
  <c r="AG14" i="5" s="1"/>
  <c r="AD15" i="5"/>
  <c r="O15" i="5"/>
  <c r="O14" i="5"/>
  <c r="AE14" i="5" l="1"/>
  <c r="AE15" i="5"/>
  <c r="AF14" i="5"/>
  <c r="AF15" i="5"/>
  <c r="B15" i="5" s="1"/>
  <c r="AG15" i="5"/>
  <c r="C15" i="5" l="1"/>
  <c r="A21" i="3" l="1"/>
  <c r="A22" i="3"/>
  <c r="A23" i="3"/>
  <c r="A24" i="3"/>
  <c r="A20" i="3"/>
  <c r="C20" i="3"/>
  <c r="C21" i="3"/>
  <c r="C22" i="3"/>
  <c r="C23" i="3"/>
  <c r="C24" i="3"/>
  <c r="B21" i="3"/>
  <c r="B22" i="3"/>
  <c r="B23" i="3"/>
  <c r="B24" i="3"/>
  <c r="B20" i="3"/>
  <c r="T10" i="5"/>
  <c r="O13" i="5"/>
  <c r="O12" i="5"/>
  <c r="O11" i="5"/>
  <c r="O10" i="5"/>
  <c r="O9" i="5"/>
  <c r="O8" i="5"/>
  <c r="O7" i="5"/>
  <c r="O6" i="5"/>
  <c r="O5" i="5"/>
  <c r="O4" i="5"/>
  <c r="C12" i="3"/>
  <c r="S4" i="5"/>
  <c r="U10" i="5"/>
  <c r="U9" i="5"/>
  <c r="R10" i="5"/>
  <c r="R9" i="5"/>
  <c r="C4" i="3"/>
  <c r="C5" i="3"/>
  <c r="C6" i="3"/>
  <c r="C7" i="3"/>
  <c r="C8" i="3"/>
  <c r="C9" i="3"/>
  <c r="C11" i="3"/>
  <c r="C3" i="3"/>
  <c r="AD9" i="5" l="1"/>
  <c r="AG9" i="5" l="1"/>
  <c r="AD10" i="5" l="1"/>
  <c r="AG10" i="5" l="1"/>
  <c r="AE10" i="5"/>
  <c r="AF10" i="5"/>
  <c r="AD13" i="5"/>
  <c r="AD12" i="5"/>
  <c r="AG12" i="5" l="1"/>
  <c r="AG13" i="5"/>
  <c r="AE9" i="5"/>
  <c r="AF9" i="5"/>
  <c r="AE12" i="5"/>
  <c r="AF12" i="5"/>
  <c r="AE13" i="5"/>
  <c r="AF13" i="5"/>
  <c r="V5" i="5" l="1"/>
  <c r="V6" i="5"/>
  <c r="V7" i="5"/>
  <c r="V4" i="5"/>
  <c r="V8" i="5"/>
  <c r="AD7" i="5" l="1"/>
  <c r="AD6" i="5"/>
  <c r="AD8" i="5"/>
  <c r="AD5" i="5"/>
  <c r="AD4" i="5"/>
  <c r="AF8" i="5" l="1"/>
  <c r="AE7" i="5"/>
  <c r="AF6" i="5"/>
  <c r="AF7" i="5"/>
  <c r="AG7" i="5"/>
  <c r="AG6" i="5"/>
  <c r="AE6" i="5"/>
  <c r="AE8" i="5"/>
  <c r="AG8" i="5"/>
  <c r="AE5" i="5"/>
  <c r="AF5" i="5"/>
  <c r="AG5" i="5"/>
  <c r="AG4" i="5"/>
  <c r="AE4" i="5"/>
  <c r="AF4" i="5"/>
  <c r="AD11" i="5" l="1"/>
  <c r="AG11" i="5" l="1"/>
  <c r="AF11" i="5"/>
  <c r="AE11" i="5"/>
  <c r="B11" i="5" l="1"/>
  <c r="B7" i="5"/>
  <c r="B14" i="5"/>
  <c r="B13" i="5"/>
  <c r="D32" i="15"/>
  <c r="B6" i="5"/>
  <c r="B10" i="5"/>
  <c r="B8" i="5"/>
  <c r="D6" i="15"/>
  <c r="B23" i="15"/>
  <c r="B5" i="5"/>
  <c r="B12" i="5"/>
  <c r="C32" i="15"/>
  <c r="C6" i="15"/>
  <c r="B4" i="5"/>
  <c r="B9" i="5"/>
  <c r="E6" i="15"/>
  <c r="E32" i="15"/>
  <c r="C5" i="15"/>
  <c r="D5" i="15"/>
  <c r="E31" i="15"/>
  <c r="E5" i="15"/>
  <c r="C31" i="15"/>
  <c r="D31" i="15"/>
  <c r="B22" i="15"/>
  <c r="C4" i="15"/>
  <c r="E4" i="15"/>
  <c r="D4" i="15"/>
  <c r="E30" i="15"/>
  <c r="C30" i="15"/>
  <c r="C14" i="5"/>
  <c r="B21" i="15"/>
  <c r="D30" i="15"/>
  <c r="C13" i="5"/>
  <c r="C9" i="5"/>
  <c r="C5" i="5"/>
  <c r="C12" i="5"/>
  <c r="C8" i="5"/>
  <c r="C11" i="5"/>
  <c r="C7" i="5"/>
  <c r="C10" i="5"/>
  <c r="C6" i="5"/>
  <c r="L3" i="15" l="1"/>
  <c r="L7" i="15"/>
  <c r="K3" i="15"/>
  <c r="K7" i="15"/>
  <c r="J9" i="15"/>
  <c r="J6" i="15"/>
  <c r="J7" i="15"/>
  <c r="L6" i="15"/>
  <c r="K2" i="15"/>
  <c r="J2" i="15"/>
  <c r="L4" i="15"/>
  <c r="L8" i="15"/>
  <c r="K4" i="15"/>
  <c r="K8" i="15"/>
  <c r="J3" i="15"/>
  <c r="K6" i="15"/>
  <c r="L5" i="15"/>
  <c r="L9" i="15"/>
  <c r="K5" i="15"/>
  <c r="K9" i="15"/>
  <c r="J4" i="15"/>
  <c r="J8" i="15"/>
  <c r="L2" i="15"/>
  <c r="J5" i="15"/>
  <c r="C4" i="5"/>
  <c r="B13" i="15"/>
  <c r="B5" i="15" l="1"/>
  <c r="B31" i="15"/>
  <c r="B14" i="15" s="1"/>
  <c r="G36" i="29" s="1"/>
  <c r="B6" i="15"/>
  <c r="B4" i="15"/>
  <c r="B32" i="15"/>
  <c r="B15" i="15" s="1"/>
  <c r="G37" i="29" s="1"/>
  <c r="B30" i="15"/>
  <c r="J11" i="15" l="1"/>
  <c r="J13" i="15" l="1"/>
  <c r="J17" i="15"/>
  <c r="J14" i="15"/>
  <c r="J18" i="15"/>
  <c r="J15" i="15"/>
  <c r="J19" i="15"/>
  <c r="J16" i="15"/>
  <c r="J12" i="15"/>
  <c r="M3" i="15"/>
  <c r="I27" i="40" s="1"/>
  <c r="D15" i="36" s="1"/>
  <c r="E15" i="36" s="1"/>
  <c r="M2" i="15"/>
  <c r="I26" i="40" s="1"/>
  <c r="M9" i="15"/>
  <c r="I31" i="40" s="1"/>
  <c r="M5" i="15"/>
  <c r="I29" i="40" s="1"/>
  <c r="D17" i="36" s="1"/>
  <c r="E17" i="36" s="1"/>
  <c r="M4" i="15"/>
  <c r="I28" i="40" s="1"/>
  <c r="D16" i="36" s="1"/>
  <c r="E16" i="36" s="1"/>
  <c r="M8" i="15"/>
  <c r="I30" i="40" s="1"/>
  <c r="D18" i="36" s="1"/>
  <c r="E18" i="36" s="1"/>
  <c r="M7" i="15"/>
  <c r="M6" i="15"/>
  <c r="K11" i="15"/>
  <c r="D14" i="36" l="1"/>
  <c r="I32" i="40"/>
  <c r="J34" i="40" s="1"/>
  <c r="D19" i="36"/>
  <c r="E19" i="36" s="1"/>
  <c r="G19" i="36" s="1"/>
  <c r="M29" i="38"/>
  <c r="R29" i="38" s="1"/>
  <c r="G18" i="36"/>
  <c r="H18" i="36"/>
  <c r="I18" i="36"/>
  <c r="E14" i="36"/>
  <c r="G16" i="36"/>
  <c r="I16" i="36"/>
  <c r="H16" i="36"/>
  <c r="H15" i="36"/>
  <c r="I15" i="36"/>
  <c r="G15" i="36"/>
  <c r="G17" i="36"/>
  <c r="H17" i="36"/>
  <c r="I17" i="36"/>
  <c r="M28" i="38"/>
  <c r="R28" i="38" s="1"/>
  <c r="M24" i="38"/>
  <c r="M25" i="38"/>
  <c r="M34" i="38"/>
  <c r="M26" i="38"/>
  <c r="O26" i="38" s="1"/>
  <c r="M35" i="38"/>
  <c r="M37" i="38"/>
  <c r="R37" i="38" s="1"/>
  <c r="M38" i="38"/>
  <c r="M27" i="38"/>
  <c r="M36" i="38"/>
  <c r="K13" i="15"/>
  <c r="K17" i="15"/>
  <c r="K16" i="15"/>
  <c r="K12" i="15"/>
  <c r="K14" i="15"/>
  <c r="K18" i="15"/>
  <c r="K15" i="15"/>
  <c r="K19" i="15"/>
  <c r="L11" i="15"/>
  <c r="M10" i="15"/>
  <c r="D20" i="36" l="1"/>
  <c r="H19" i="36"/>
  <c r="I19" i="36"/>
  <c r="U29" i="38"/>
  <c r="W29" i="38" s="1"/>
  <c r="M30" i="38"/>
  <c r="R38" i="38"/>
  <c r="U38" i="38" s="1"/>
  <c r="X38" i="38" s="1"/>
  <c r="U28" i="38"/>
  <c r="E20" i="36"/>
  <c r="G14" i="36"/>
  <c r="G20" i="36" s="1"/>
  <c r="D26" i="36" s="1"/>
  <c r="I14" i="36"/>
  <c r="H14" i="36"/>
  <c r="O36" i="38"/>
  <c r="G36" i="38" s="1"/>
  <c r="H36" i="38" s="1"/>
  <c r="O35" i="38"/>
  <c r="O34" i="38"/>
  <c r="G34" i="38" s="1"/>
  <c r="H34" i="38" s="1"/>
  <c r="U37" i="38"/>
  <c r="X37" i="38" s="1"/>
  <c r="M33" i="38"/>
  <c r="O25" i="38"/>
  <c r="L13" i="15"/>
  <c r="M13" i="15" s="1"/>
  <c r="O27" i="40" s="1"/>
  <c r="O44" i="40" s="1"/>
  <c r="L17" i="15"/>
  <c r="M17" i="15" s="1"/>
  <c r="L16" i="15"/>
  <c r="M16" i="15" s="1"/>
  <c r="L14" i="15"/>
  <c r="M14" i="15" s="1"/>
  <c r="O45" i="40" s="1"/>
  <c r="L18" i="15"/>
  <c r="M18" i="15" s="1"/>
  <c r="O30" i="40" s="1"/>
  <c r="O47" i="40" s="1"/>
  <c r="L15" i="15"/>
  <c r="M15" i="15" s="1"/>
  <c r="O29" i="40" s="1"/>
  <c r="O46" i="40" s="1"/>
  <c r="L19" i="15"/>
  <c r="M19" i="15" s="1"/>
  <c r="O31" i="40" s="1"/>
  <c r="O48" i="40" s="1"/>
  <c r="L12" i="15"/>
  <c r="M12" i="15" s="1"/>
  <c r="O43" i="40" s="1"/>
  <c r="H20" i="36" l="1"/>
  <c r="F26" i="36" s="1"/>
  <c r="J26" i="40"/>
  <c r="I20" i="36"/>
  <c r="H26" i="36" s="1"/>
  <c r="X29" i="38"/>
  <c r="O33" i="38"/>
  <c r="G33" i="38" s="1"/>
  <c r="H33" i="38" s="1"/>
  <c r="M39" i="38"/>
  <c r="W28" i="38"/>
  <c r="X28" i="38" s="1"/>
  <c r="F17" i="36"/>
  <c r="F15" i="36"/>
  <c r="F16" i="36"/>
  <c r="F19" i="36"/>
  <c r="F18" i="36"/>
  <c r="F14" i="36"/>
  <c r="R35" i="38"/>
  <c r="U35" i="38" s="1"/>
  <c r="X35" i="38" s="1"/>
  <c r="R34" i="38"/>
  <c r="R36" i="38"/>
  <c r="O24" i="38"/>
  <c r="J30" i="40"/>
  <c r="J29" i="40"/>
  <c r="J28" i="40"/>
  <c r="J31" i="40"/>
  <c r="J27" i="40"/>
  <c r="O32" i="40"/>
  <c r="O27" i="38"/>
  <c r="R25" i="38"/>
  <c r="M20" i="15"/>
  <c r="G35" i="38" l="1"/>
  <c r="H35" i="38" s="1"/>
  <c r="O30" i="38"/>
  <c r="AB36" i="38"/>
  <c r="G46" i="38" s="1"/>
  <c r="R33" i="38"/>
  <c r="O39" i="38"/>
  <c r="U34" i="38"/>
  <c r="U25" i="38"/>
  <c r="W25" i="38" s="1"/>
  <c r="F20" i="36"/>
  <c r="AB34" i="38"/>
  <c r="U36" i="38"/>
  <c r="X36" i="38" s="1"/>
  <c r="R24" i="38"/>
  <c r="J32" i="40"/>
  <c r="O49" i="40"/>
  <c r="E34" i="40" s="1"/>
  <c r="R27" i="38"/>
  <c r="R26" i="38"/>
  <c r="P43" i="40" l="1"/>
  <c r="X25" i="38"/>
  <c r="R30" i="38"/>
  <c r="AB35" i="38"/>
  <c r="F47" i="38" s="1"/>
  <c r="U33" i="38"/>
  <c r="R39" i="38"/>
  <c r="X34" i="38"/>
  <c r="U27" i="38"/>
  <c r="G44" i="38"/>
  <c r="G47" i="38"/>
  <c r="J48" i="38"/>
  <c r="G48" i="38"/>
  <c r="E47" i="38"/>
  <c r="U24" i="38"/>
  <c r="U26" i="38"/>
  <c r="W26" i="38" s="1"/>
  <c r="P46" i="40"/>
  <c r="P47" i="40"/>
  <c r="P44" i="40"/>
  <c r="P48" i="40"/>
  <c r="P45" i="40"/>
  <c r="AB33" i="38"/>
  <c r="U30" i="38" l="1"/>
  <c r="U39" i="38"/>
  <c r="X33" i="38"/>
  <c r="G37" i="38" s="1"/>
  <c r="H37" i="38" s="1"/>
  <c r="V28" i="38"/>
  <c r="W27" i="38"/>
  <c r="X27" i="38" s="1"/>
  <c r="W24" i="38"/>
  <c r="X24" i="38" s="1"/>
  <c r="J46" i="38"/>
  <c r="D46" i="38"/>
  <c r="X26" i="38"/>
  <c r="P49" i="40"/>
  <c r="X30" i="38" l="1"/>
  <c r="O41" i="38" s="1"/>
  <c r="X39" i="38"/>
  <c r="O42" i="38" s="1"/>
  <c r="O43" i="38" l="1"/>
  <c r="G38" i="38"/>
  <c r="V26" i="38"/>
  <c r="V24" i="38"/>
  <c r="AB37" i="38" l="1"/>
  <c r="J47" i="38" s="1"/>
  <c r="H38" i="38"/>
  <c r="AB38" i="38" s="1"/>
  <c r="V27" i="38"/>
  <c r="V25" i="38" l="1"/>
  <c r="G25" i="38" l="1"/>
  <c r="H25" i="38" s="1"/>
  <c r="AB25" i="38" s="1"/>
  <c r="E44" i="38" s="1"/>
  <c r="G24" i="38"/>
  <c r="H24" i="38" s="1"/>
  <c r="AB24" i="38" s="1"/>
  <c r="G26" i="38"/>
  <c r="H26" i="38" s="1"/>
  <c r="AB26" i="38" s="1"/>
  <c r="F44" i="38" s="1"/>
  <c r="G27" i="38"/>
  <c r="H27" i="38" s="1"/>
  <c r="AB27" i="38" s="1"/>
  <c r="G28" i="38" l="1"/>
  <c r="O44" i="38" s="1"/>
  <c r="O45" i="38" s="1"/>
  <c r="H28" i="38" l="1"/>
  <c r="AB28" i="38" s="1"/>
  <c r="D44" i="38" l="1"/>
  <c r="J44" i="38"/>
</calcChain>
</file>

<file path=xl/sharedStrings.xml><?xml version="1.0" encoding="utf-8"?>
<sst xmlns="http://schemas.openxmlformats.org/spreadsheetml/2006/main" count="786" uniqueCount="389">
  <si>
    <t>Cardboard and clean paper</t>
  </si>
  <si>
    <t>General waste</t>
  </si>
  <si>
    <t>Dry waste</t>
  </si>
  <si>
    <t>Comingled recycling</t>
  </si>
  <si>
    <t>Types of events</t>
  </si>
  <si>
    <t>Waste Streams</t>
  </si>
  <si>
    <t>Sustainability aim of event</t>
  </si>
  <si>
    <t>Music Festival</t>
  </si>
  <si>
    <t>No</t>
  </si>
  <si>
    <t>Preference for compostable wares</t>
  </si>
  <si>
    <t>Yes</t>
  </si>
  <si>
    <t>Location</t>
  </si>
  <si>
    <t>Total</t>
  </si>
  <si>
    <t>Recycling Rate</t>
  </si>
  <si>
    <t>Landfill</t>
  </si>
  <si>
    <t>Recycling</t>
  </si>
  <si>
    <t>Other</t>
  </si>
  <si>
    <t>Waste generation (tonnes)</t>
  </si>
  <si>
    <t>Community Event</t>
  </si>
  <si>
    <t>None</t>
  </si>
  <si>
    <t>High</t>
  </si>
  <si>
    <t>Landfill diversion rate %</t>
  </si>
  <si>
    <r>
      <t xml:space="preserve">Sustainability aim of event
</t>
    </r>
    <r>
      <rPr>
        <sz val="11"/>
        <color theme="0"/>
        <rFont val="Calibri"/>
        <family val="2"/>
        <scheme val="minor"/>
      </rPr>
      <t>(High, Medium, None)</t>
    </r>
  </si>
  <si>
    <r>
      <t xml:space="preserve">Event type
</t>
    </r>
    <r>
      <rPr>
        <sz val="11"/>
        <color theme="0"/>
        <rFont val="Calibri"/>
        <family val="2"/>
        <scheme val="minor"/>
      </rPr>
      <t>(music event, food event or community event)</t>
    </r>
  </si>
  <si>
    <t>Est. waste generation per patron (kg/p/day)</t>
  </si>
  <si>
    <t>Stream</t>
  </si>
  <si>
    <t>Destination</t>
  </si>
  <si>
    <t>Reuse</t>
  </si>
  <si>
    <t>Source
NOT DISCLOSED</t>
  </si>
  <si>
    <t>Event Name
NOT DISCLOSED</t>
  </si>
  <si>
    <t>Month, Year
NOT DISCLOSED</t>
  </si>
  <si>
    <t>Approx. no. food/drink stalls</t>
  </si>
  <si>
    <t>Low</t>
  </si>
  <si>
    <t>Medium</t>
  </si>
  <si>
    <t>Weight (tonnes)</t>
  </si>
  <si>
    <t>Category</t>
  </si>
  <si>
    <t>Open event or tickets required</t>
  </si>
  <si>
    <t>Food Event</t>
  </si>
  <si>
    <t>Metric waste generation reported in</t>
  </si>
  <si>
    <t>Days event held for</t>
  </si>
  <si>
    <t>Event type</t>
  </si>
  <si>
    <t>Music event, food event or community event</t>
  </si>
  <si>
    <t>Yes or no</t>
  </si>
  <si>
    <t>Name of event</t>
  </si>
  <si>
    <t>Typical event</t>
  </si>
  <si>
    <t>Recycling rate</t>
  </si>
  <si>
    <t>Milk Cartons</t>
  </si>
  <si>
    <t>m3</t>
  </si>
  <si>
    <t>Soft Plastics</t>
  </si>
  <si>
    <t>Average of top three</t>
  </si>
  <si>
    <t>Attendance Brackets</t>
  </si>
  <si>
    <t>Attendance Brackets To</t>
  </si>
  <si>
    <t>%</t>
  </si>
  <si>
    <t>Alternative fuels/EfW</t>
  </si>
  <si>
    <t>Average of bottom three</t>
  </si>
  <si>
    <t>Location (town/city)
NOT DISCLOSED</t>
  </si>
  <si>
    <t>Location (state)
NOT DISCLOSED</t>
  </si>
  <si>
    <t>Scrap metal</t>
  </si>
  <si>
    <t>Attendance bracket</t>
  </si>
  <si>
    <t>Insert cells above this line</t>
  </si>
  <si>
    <t>Ticketing</t>
  </si>
  <si>
    <t>Open event</t>
  </si>
  <si>
    <t>Ticketed event</t>
  </si>
  <si>
    <t>Non camping event</t>
  </si>
  <si>
    <t>Camping event</t>
  </si>
  <si>
    <t>Camping available</t>
  </si>
  <si>
    <t>Compostable wares mandatory</t>
  </si>
  <si>
    <t>Uncompacted (kg/m3)</t>
  </si>
  <si>
    <t>Compacted (kg/m3)</t>
  </si>
  <si>
    <t>Alternative fuels</t>
  </si>
  <si>
    <t>Other Stream Disposal/Processing</t>
  </si>
  <si>
    <t>Soft plastics</t>
  </si>
  <si>
    <t>Milk cartons</t>
  </si>
  <si>
    <t>Typical event (average without outliers)</t>
  </si>
  <si>
    <t>Typical event (average of bottom three)</t>
  </si>
  <si>
    <t>Attendance Bracket From</t>
  </si>
  <si>
    <t>0-3,000</t>
  </si>
  <si>
    <t>10,000-50,000</t>
  </si>
  <si>
    <t>3,000-10,000</t>
  </si>
  <si>
    <t>50,000+</t>
  </si>
  <si>
    <t>Mixed plastics</t>
  </si>
  <si>
    <t>Source</t>
  </si>
  <si>
    <t>Rawtec</t>
  </si>
  <si>
    <t>EPA Vic, 2014</t>
  </si>
  <si>
    <t>Event name</t>
  </si>
  <si>
    <t>Polystyrene</t>
  </si>
  <si>
    <t>Paper</t>
  </si>
  <si>
    <t>Baled cardboard</t>
  </si>
  <si>
    <t>Glass</t>
  </si>
  <si>
    <t>Garden organics</t>
  </si>
  <si>
    <t>Organics/food waste</t>
  </si>
  <si>
    <t>Wood/timber</t>
  </si>
  <si>
    <t>Medical waste</t>
  </si>
  <si>
    <t>Average</t>
  </si>
  <si>
    <t>Open event or ticketed event</t>
  </si>
  <si>
    <t>Cleaners</t>
  </si>
  <si>
    <t>Waste collection contract managed by</t>
  </si>
  <si>
    <t>Waste contractor</t>
  </si>
  <si>
    <t>Council</t>
  </si>
  <si>
    <r>
      <t>Volume (m</t>
    </r>
    <r>
      <rPr>
        <vertAlign val="superscript"/>
        <sz val="11"/>
        <color theme="1"/>
        <rFont val="Calibri"/>
        <family val="2"/>
        <scheme val="minor"/>
      </rPr>
      <t>3</t>
    </r>
    <r>
      <rPr>
        <sz val="11"/>
        <color theme="1"/>
        <rFont val="Calibri"/>
        <family val="2"/>
        <scheme val="minor"/>
      </rPr>
      <t>)</t>
    </r>
  </si>
  <si>
    <t>Est. waste generation per patron (kg/p/day)
excluding reuse</t>
  </si>
  <si>
    <t>Days event held over</t>
  </si>
  <si>
    <t>Do not add any more lines to this dropdown</t>
  </si>
  <si>
    <t>Insert cells above green cells only</t>
  </si>
  <si>
    <t>Do not add any more lines to bottom of this dropdown or within green cells</t>
  </si>
  <si>
    <t>Bin sizes</t>
  </si>
  <si>
    <t>80L</t>
  </si>
  <si>
    <t>140L</t>
  </si>
  <si>
    <t>240L</t>
  </si>
  <si>
    <t>360L</t>
  </si>
  <si>
    <t>660L</t>
  </si>
  <si>
    <t>1100L</t>
  </si>
  <si>
    <t>Collection Vehicle</t>
  </si>
  <si>
    <t>1.5m3</t>
  </si>
  <si>
    <t>2m3</t>
  </si>
  <si>
    <t>3m3</t>
  </si>
  <si>
    <t>4.5m3</t>
  </si>
  <si>
    <t>4m3</t>
  </si>
  <si>
    <t>3.5m3</t>
  </si>
  <si>
    <t>Main streams</t>
  </si>
  <si>
    <t>Better practice</t>
  </si>
  <si>
    <t>Entered no.</t>
  </si>
  <si>
    <t>Col</t>
  </si>
  <si>
    <t>Rank based on recycling rate if tonnages per stream are provided</t>
  </si>
  <si>
    <t>Waste and recycling streams
collected from event</t>
  </si>
  <si>
    <t>Litres</t>
  </si>
  <si>
    <t>Estimated litres of waste generated at event if a better practice event</t>
  </si>
  <si>
    <t>Estimated litres of waste generated at the event if a typical event</t>
  </si>
  <si>
    <t>Service available for the event</t>
  </si>
  <si>
    <t>Waste and recycling streams
Generated from event</t>
  </si>
  <si>
    <t>General Waste</t>
  </si>
  <si>
    <t>If not available volume goes into this bin</t>
  </si>
  <si>
    <t>Service Available</t>
  </si>
  <si>
    <t>Total Volume</t>
  </si>
  <si>
    <t>Waste/recycling collection service available for the event</t>
  </si>
  <si>
    <t>Volume Better Practice</t>
  </si>
  <si>
    <t>Rank based on lowest waste generation</t>
  </si>
  <si>
    <t>Rear-lift or side-lift service</t>
  </si>
  <si>
    <t>Rear-lift service only</t>
  </si>
  <si>
    <t>Front-lift service only</t>
  </si>
  <si>
    <t>Destination facility type</t>
  </si>
  <si>
    <t>Estimated percent of stream generated
%</t>
  </si>
  <si>
    <t>Preferred destination facility type for waste/recycling stream</t>
  </si>
  <si>
    <t>Introduction</t>
  </si>
  <si>
    <t>Important Notes</t>
  </si>
  <si>
    <t>Back of house bin sizes</t>
  </si>
  <si>
    <t>Cells to be filled in</t>
  </si>
  <si>
    <t>Town, suburb or city</t>
  </si>
  <si>
    <t>Step 1: Event Details</t>
  </si>
  <si>
    <t>Step 2: Estimating Waste/Recycling Generation</t>
  </si>
  <si>
    <t>Step 2 Notes:</t>
  </si>
  <si>
    <t>Step 1 Notes:</t>
  </si>
  <si>
    <t>Dry waste*</t>
  </si>
  <si>
    <t>Estimated total litres generated</t>
  </si>
  <si>
    <t>Step 3 Notes:</t>
  </si>
  <si>
    <t>Information Required</t>
  </si>
  <si>
    <t>Notes/options</t>
  </si>
  <si>
    <t>Better practice event</t>
  </si>
  <si>
    <t xml:space="preserve">Estimated public place litres of this stream to be generated by this service if a better practice event </t>
  </si>
  <si>
    <t>Performance metrics of a better practice event</t>
  </si>
  <si>
    <t>Performance metrics of a typical event</t>
  </si>
  <si>
    <t>Estimated Total BOH Litres/Bins Required</t>
  </si>
  <si>
    <t>Selection of bin services, types/sizes and collection/emptying frequency for the public place areas</t>
  </si>
  <si>
    <t>Selection of bin services, types/sizes and collection/emptying frequency for the BOH areas</t>
  </si>
  <si>
    <t>Public Place Area Waste Generation and Bin Services</t>
  </si>
  <si>
    <t>Estimated Total Public Place Litres/Bins Required</t>
  </si>
  <si>
    <t>Public Place Better Practice</t>
  </si>
  <si>
    <t>BOH Better Practice</t>
  </si>
  <si>
    <t xml:space="preserve">Summary of estimated Public Place and BOH bins required </t>
  </si>
  <si>
    <t>Add additional streams in blue cells if required</t>
  </si>
  <si>
    <t>Volume or bin estimation</t>
  </si>
  <si>
    <t>Reported volume (litres/m3)</t>
  </si>
  <si>
    <t>Bin collections</t>
  </si>
  <si>
    <t>South Australia’s Recycling Activity Survey 2017-18 Financial Year Report March 2019</t>
  </si>
  <si>
    <t>Masonry</t>
  </si>
  <si>
    <t>Bricks</t>
  </si>
  <si>
    <t>Concrete</t>
  </si>
  <si>
    <t>Plasterboard</t>
  </si>
  <si>
    <t>Steel</t>
  </si>
  <si>
    <t>Timber</t>
  </si>
  <si>
    <t>Cardboard &amp; paper</t>
  </si>
  <si>
    <t>Low density polyethylene</t>
  </si>
  <si>
    <t>Polypropylene</t>
  </si>
  <si>
    <t>Fly ash</t>
  </si>
  <si>
    <t>Foundry sands</t>
  </si>
  <si>
    <t>t CO2-e/t</t>
  </si>
  <si>
    <t>GJ LHV/t</t>
  </si>
  <si>
    <t>kL/t</t>
  </si>
  <si>
    <t>NF</t>
  </si>
  <si>
    <t>Asphalt</t>
  </si>
  <si>
    <t>Metals</t>
  </si>
  <si>
    <t>Aluminium</t>
  </si>
  <si>
    <t>Non-ferrous metals</t>
  </si>
  <si>
    <t> Organics</t>
  </si>
  <si>
    <t>Organics - Other</t>
  </si>
  <si>
    <t>Cardboard &amp; waxed cardboard</t>
  </si>
  <si>
    <t> Plastics</t>
  </si>
  <si>
    <t>Polyethylene terephthalate</t>
  </si>
  <si>
    <t>Polyvinyl chloride</t>
  </si>
  <si>
    <t> Glass</t>
  </si>
  <si>
    <t> Other Materials</t>
  </si>
  <si>
    <t>Number</t>
  </si>
  <si>
    <t>Clay, fines, rubble and soil</t>
  </si>
  <si>
    <t>Food organics</t>
  </si>
  <si>
    <t>Liquid paperboard</t>
  </si>
  <si>
    <t>Magazines</t>
  </si>
  <si>
    <t>Newsprint</t>
  </si>
  <si>
    <t>Phonebooks</t>
  </si>
  <si>
    <t>Printing &amp; writing paper</t>
  </si>
  <si>
    <t>High density polyethylene</t>
  </si>
  <si>
    <t>Mixed &amp;/or other plastics</t>
  </si>
  <si>
    <t>Leather &amp; textiles</t>
  </si>
  <si>
    <t>Tyres &amp; other rubber</t>
  </si>
  <si>
    <t>Energy savings</t>
  </si>
  <si>
    <t>GHG emissions savings</t>
  </si>
  <si>
    <t>Water savings</t>
  </si>
  <si>
    <t>Better Practice</t>
  </si>
  <si>
    <t>Better practice event (average of top three)</t>
  </si>
  <si>
    <t>Approx. attendance per day</t>
  </si>
  <si>
    <t>Estimated attendance of event</t>
  </si>
  <si>
    <t>Estimated number of people that attended the event per day</t>
  </si>
  <si>
    <t>Estimated attendance over the whole event</t>
  </si>
  <si>
    <t>NEB = No environmental benefit</t>
  </si>
  <si>
    <t>Equivalent Resource Savings</t>
  </si>
  <si>
    <t>NE</t>
  </si>
  <si>
    <t>NEB</t>
  </si>
  <si>
    <t>equivalent trees (tonnes)</t>
  </si>
  <si>
    <t>1 tonne GHG(e) saved = planting 1.49 trees</t>
  </si>
  <si>
    <t>equivalent cars (tonnes)</t>
  </si>
  <si>
    <t>1 tonne GHG (e) saved = taking 0.23 cars off the road</t>
  </si>
  <si>
    <t>equivalent households (GJ)</t>
  </si>
  <si>
    <t>equivalent barrel of oil (GJ)</t>
  </si>
  <si>
    <t>equivalent households (kL)</t>
  </si>
  <si>
    <t>equivalent Olympic swimming pools (kL)</t>
  </si>
  <si>
    <t>Emission conversion factors source: South Australia’s Recycling Activity Survey 2016-17 Financial Year Report March 2018</t>
  </si>
  <si>
    <t>Days  held over</t>
  </si>
  <si>
    <t>Million units</t>
  </si>
  <si>
    <t>Alum</t>
  </si>
  <si>
    <t>PET</t>
  </si>
  <si>
    <t>LPB</t>
  </si>
  <si>
    <t>HDPE</t>
  </si>
  <si>
    <t>Contamination</t>
  </si>
  <si>
    <t>Average of all</t>
  </si>
  <si>
    <t>% without contamination</t>
  </si>
  <si>
    <t>% with contamination</t>
  </si>
  <si>
    <t>units with contamination factored in</t>
  </si>
  <si>
    <t>Waste and recycling streams collected from event</t>
  </si>
  <si>
    <t>Landfill, recycling, alternative fuels/EfW or reuse</t>
  </si>
  <si>
    <t>Data Accuracy Disclaimers</t>
  </si>
  <si>
    <t>Step 1 progress note:</t>
  </si>
  <si>
    <t>Bin Composition</t>
  </si>
  <si>
    <t>Amount (kg)</t>
  </si>
  <si>
    <t>Composition (%)</t>
  </si>
  <si>
    <t>Recyclables</t>
  </si>
  <si>
    <t>Paper &amp; cardboard</t>
  </si>
  <si>
    <t>CDL (alcoholic)</t>
  </si>
  <si>
    <t>CDL (non-alcoholic)</t>
  </si>
  <si>
    <t>Coffee &amp; juice cups</t>
  </si>
  <si>
    <t>Rigid plastic cups &amp; lids</t>
  </si>
  <si>
    <t>Contaminates</t>
  </si>
  <si>
    <t>Foil</t>
  </si>
  <si>
    <t>Soft plastics &amp; film</t>
  </si>
  <si>
    <t>Cigarettes</t>
  </si>
  <si>
    <t>Nappies</t>
  </si>
  <si>
    <t>Dog poo</t>
  </si>
  <si>
    <t>Food waste (loose)</t>
  </si>
  <si>
    <t>Straws &amp; plastic cutlery</t>
  </si>
  <si>
    <t>Residual Waste</t>
  </si>
  <si>
    <t>Containerised food</t>
  </si>
  <si>
    <t>Totals</t>
  </si>
  <si>
    <t>Total Recyclables</t>
  </si>
  <si>
    <t>Total Contaminants</t>
  </si>
  <si>
    <t>2 butts &amp;
 1 empty packet</t>
  </si>
  <si>
    <t>From RAS</t>
  </si>
  <si>
    <t>Adjusted from contamination</t>
  </si>
  <si>
    <t>Source:</t>
  </si>
  <si>
    <r>
      <t>Comingled recycling</t>
    </r>
    <r>
      <rPr>
        <b/>
        <vertAlign val="superscript"/>
        <sz val="8"/>
        <color rgb="FF000000"/>
        <rFont val="Arial"/>
        <family val="2"/>
      </rPr>
      <t>2</t>
    </r>
  </si>
  <si>
    <t>Source: Rawtec prior audit of public place comingled recycling bin</t>
  </si>
  <si>
    <r>
      <t>GHG Savings</t>
    </r>
    <r>
      <rPr>
        <b/>
        <vertAlign val="superscript"/>
        <sz val="11"/>
        <color rgb="FF000000"/>
        <rFont val="Calibri"/>
        <family val="2"/>
        <scheme val="minor"/>
      </rPr>
      <t>3</t>
    </r>
  </si>
  <si>
    <r>
      <t>Energy Savings</t>
    </r>
    <r>
      <rPr>
        <b/>
        <vertAlign val="superscript"/>
        <sz val="11"/>
        <color rgb="FF000000"/>
        <rFont val="Calibri"/>
        <family val="2"/>
        <scheme val="minor"/>
      </rPr>
      <t>4</t>
    </r>
  </si>
  <si>
    <r>
      <t>Water Savings</t>
    </r>
    <r>
      <rPr>
        <b/>
        <vertAlign val="superscript"/>
        <sz val="11"/>
        <color rgb="FF000000"/>
        <rFont val="Calibri"/>
        <family val="2"/>
        <scheme val="minor"/>
      </rPr>
      <t>5</t>
    </r>
  </si>
  <si>
    <t>2. Comingles recycling environmental savings factors based on stream split of 14% glass, 27% aluminium, 13% PET, 4% LPB, 5% HDPE, 10% cardboard &amp; waxed cardboard, 28% contamination (no savings).</t>
  </si>
  <si>
    <t>3. GHG Savings based on the equivalent 1 tonne GHG (e) saved = taking 0.23 cars off the road</t>
  </si>
  <si>
    <t>4. Energy savings based on the equivalent of 1 GJ of water saved = reduce energy consumption by 0.02 households</t>
  </si>
  <si>
    <t>5. Water savings based on the equivalent of 1KL saved = reduce water consumption of .005262 households</t>
  </si>
  <si>
    <t>NE = Unable to calculate due to insufficient data or lack of published conversion factors for calculation of environmental benefit</t>
  </si>
  <si>
    <t>Environmental savings factors source: Green Industries SA 2019, South Australia’s Recycling Activity Survey 2017-18 Financial Year Report March 2019</t>
  </si>
  <si>
    <t>GHG savings based on the equivalent 1 tonne GHG (e) saved = taking 0.23 cars off the road.</t>
  </si>
  <si>
    <t>Approx. attendance over whole event</t>
  </si>
  <si>
    <t xml:space="preserve">Totals </t>
  </si>
  <si>
    <t>Ice-cream cups</t>
  </si>
  <si>
    <t>Estimated waste generation and waste/recycling profile of your event 
if typical event practices are followed</t>
  </si>
  <si>
    <t>Event toolkit category</t>
  </si>
  <si>
    <t>Environmental Factors</t>
  </si>
  <si>
    <r>
      <t xml:space="preserve">What does a typical event look like: 
</t>
    </r>
    <r>
      <rPr>
        <sz val="10"/>
        <rFont val="Microsoft PhagsPa"/>
        <family val="2"/>
      </rPr>
      <t>&gt; No organics/food waste recycling collection
&gt; No sustainability event theme or marketing
&gt; Stall holders able to use single use plastic cups and wares
&gt; Very little or no reporting on waste/recycling performance</t>
    </r>
    <r>
      <rPr>
        <b/>
        <sz val="10"/>
        <rFont val="Microsoft PhagsPa"/>
        <family val="2"/>
      </rPr>
      <t>.</t>
    </r>
  </si>
  <si>
    <t>The toolkit was developed by Rawtec (www.rawtec.com.au) for Green Industries SA (GISA)</t>
  </si>
  <si>
    <t>Public place area bin sizes</t>
  </si>
  <si>
    <t>Back of House (BOH) Waste Generation and Bin Services</t>
  </si>
  <si>
    <t>kg CO2-e/t</t>
  </si>
  <si>
    <t>1 GJ of energy saved = reduce energy consumption by 0.02 households</t>
  </si>
  <si>
    <t>1GJ of energy saved = energy of 0.18 barrels of oil</t>
  </si>
  <si>
    <t>1KL water saved = reduce water consumption of .005262 households</t>
  </si>
  <si>
    <t>1KL water saved = reduce water consumption by 0.0004 Olympic swimming pools</t>
  </si>
  <si>
    <t>Comingled recycling environmental savings factors are based on stream split of 14% glass, 27% aluminium, 13% PET, 4% LPB, 5% HDPE, 10% cardboard &amp; waxed cardboard and 28% contamination (no savings).</t>
  </si>
  <si>
    <t>Both Weight (tonnes) and Volume (m3)</t>
  </si>
  <si>
    <t>Water savings based on the equivalent of 1 kL water saved = reduce water consumption by 0.0004  of a 2,500 kL Olympic swimming pool</t>
  </si>
  <si>
    <t>Notes and assumptions:</t>
  </si>
  <si>
    <t>10c drinks containers</t>
  </si>
  <si>
    <t>10c drinks containers environmental savings factors are based on a stream split of 22% glass, 41% aluminium, 20% PET, 6% LPB, 1%, HDPE, and 10% contamination (no savings).</t>
  </si>
  <si>
    <t>10c drinks containers1</t>
  </si>
  <si>
    <t>1. 10c drinks containers environmental savings factors based on a stream split of 22% glass, 41% aluminium, 20% PET, 6% LPB, 1%, HDPE, 10% contamination.</t>
  </si>
  <si>
    <t>Estimated % Waste Generated by Public Place Areas at the Event</t>
  </si>
  <si>
    <t>Estimated % Waste Generated by Back of House Areas at the Event</t>
  </si>
  <si>
    <t>Note: Input estimated percentage for this cell. If there aren't any BOH bins, input 100% into this cell.</t>
  </si>
  <si>
    <t>Landfill/Alternative Fuels/EfW</t>
  </si>
  <si>
    <t>General waste or dry waste</t>
  </si>
  <si>
    <t>Landfill/Alternative fuels/EfW</t>
  </si>
  <si>
    <t>Total Better Practice</t>
  </si>
  <si>
    <t>No times FOH bins collected/emptied during event (minimum 1 per event day)</t>
  </si>
  <si>
    <t>If event less than 
X persons per day</t>
  </si>
  <si>
    <t>Then minimum X no. bins</t>
  </si>
  <si>
    <t>Days event held for:</t>
  </si>
  <si>
    <t>Estimated minimum number of public place bins required for this stream based on waste generation of a better practice event</t>
  </si>
  <si>
    <t>Estimated minimum number of BOH bins required for this stream based on waste generation of a better practice event</t>
  </si>
  <si>
    <t>The table to the right provide a summary of the estimate minimum number of each bin type and stream required at the event to manage the expected volumes of waste and recycling generated.</t>
  </si>
  <si>
    <t xml:space="preserve">Estimated BOH litres to be generated by each stream if a better practice event </t>
  </si>
  <si>
    <t>If drinks are sold in containers (not glasses/cups) consider having a 10c drinks container service</t>
  </si>
  <si>
    <t>Consider placing organics/food waste recycling bins in multiple areas around the event</t>
  </si>
  <si>
    <t>Consider placing 10c drinks container bins in multiple areas around the event</t>
  </si>
  <si>
    <t>Consider placing 10c drinks container bins near where food/beverage stalls are located</t>
  </si>
  <si>
    <t>Consider placing organics/food waste recycling bins near where food/beverage stalls are located</t>
  </si>
  <si>
    <t>Does the event have food stalls?</t>
  </si>
  <si>
    <t>Does the event have beverage stalls?</t>
  </si>
  <si>
    <t>Required</t>
  </si>
  <si>
    <t xml:space="preserve">Provided </t>
  </si>
  <si>
    <t>Consider providing an organics/food waste recycling service if large amounts of organics/food waste is going to be brought into the event by patrons (e.g. picnics)</t>
  </si>
  <si>
    <t>Better practice events with food stalls include an organics/food waste recycling bins for event patrons</t>
  </si>
  <si>
    <t>Consider placing organics/food waste bins near where food will be consumed at the event (e.g. picnic area)</t>
  </si>
  <si>
    <t>Consider providing a 10c drinks container bin service if large amounts of drinks in containers are going to be brought into the event by patrons (e.g. BYO beverages)</t>
  </si>
  <si>
    <t>Consider placing 10c container bins near where beverages will be consumed at the event (e.g. picnic area)</t>
  </si>
  <si>
    <t>Does the event have food stalls and/or beverage stalls?</t>
  </si>
  <si>
    <t>AND() statement outcome</t>
  </si>
  <si>
    <t>Not required and not provided</t>
  </si>
  <si>
    <t>Required and not provided</t>
  </si>
  <si>
    <t>Required and provided and a Music Festival</t>
  </si>
  <si>
    <t>Required and provided and a Community Event</t>
  </si>
  <si>
    <t>Required and provided and a Food Event</t>
  </si>
  <si>
    <t>Not required and provided</t>
  </si>
  <si>
    <t xml:space="preserve">Outcome </t>
  </si>
  <si>
    <t>Public Place Notes/Tips</t>
  </si>
  <si>
    <t>BOH Notes/Tips</t>
  </si>
  <si>
    <t>Notes/tips</t>
  </si>
  <si>
    <t>put below  and hide and lock</t>
  </si>
  <si>
    <t>Estimated waste generation and profile of your event if better practice principles/features are implemented</t>
  </si>
  <si>
    <t>Estimated percent of total waste
%</t>
  </si>
  <si>
    <t>Estimated total tonnes</t>
  </si>
  <si>
    <t>Estimating Event Waste and &amp; Recycling Generation and Bin Selection Tool</t>
  </si>
  <si>
    <t>Better practice event key principles</t>
  </si>
  <si>
    <t>Small to Medium Event Waste &amp; Recycling Planning Tool</t>
  </si>
  <si>
    <t>The key principles/features of a better practice event include the following:
&gt; Source separation of recyclable items (organics, paper/cardboard, 10c drinks containers etc.)
&gt; Food/organics recycling collection service
&gt; Strong sustainable event theme and marketing
&gt; Mandatory for only reusable or compostable takeaway containers and wares to be provided by stall holders
&gt; Emphasis on measuring and reporting waste/recycling outcomes from the event
&gt; Event staff continually monitoring bin stations and educating attendees on where to dispose of waste/recyclable items.</t>
  </si>
  <si>
    <t>This calculator was prepared in Excel 2017. Some of the functionalities (e.g. charts) may not work in older versions of Excel (post 2013). 
The information contained within this document is based upon sources, experimentation and methodology which at the time of preparing this document were believed to be reasonably reliable and the accuracy of this information subsequent to this date may not necessarily be valid.  This information is not to be relied upon or extrapolated beyond its intended purpose by the client or a third party.
This tool may be reproduced in whole or part for the purpose of study or training subject to:
• the inclusion of an acknowledgement of the source
• it not being used for commercial purposes or sale
• the material being accurate and not used in a misleading context.
Reproduction for purposes other than those given above require the prior written permission of Green Industries SA.</t>
  </si>
  <si>
    <t>Better Practice Event Guidance and Performance Metrics</t>
  </si>
  <si>
    <t>The table below details the performance metrics of a better practice event, which are used within this tool to estimate waste and recycling generation in this tool.</t>
  </si>
  <si>
    <t>Tips</t>
  </si>
  <si>
    <t>Are retailers only able to use compostable takeaway wares during the event?</t>
  </si>
  <si>
    <t>Includes food, café and restaurant stalls.</t>
  </si>
  <si>
    <t>Includes beverage and bar stalls</t>
  </si>
  <si>
    <t>No times BOH bins collected/emptied during event
(minimum 1 per event day)</t>
  </si>
  <si>
    <t>Step 3: Estimating Waste/Recycling Generation</t>
  </si>
  <si>
    <t>Energy savings based on the equivalent of 1 GJ of energy saved = reduce energy consumption by 0.02 households.</t>
  </si>
  <si>
    <t>Step 3: Estimated Environmental Savings From Recycling Activities At The Event</t>
  </si>
  <si>
    <t>The tool includes the following 4 steps that require input and review from the event planner:
Step 1 - Provision of the details of the event, including event length (no. days) and estimated attendance (refer tab 'Step 1 &amp; Step 2 Event Details')
Step 2 - Estimation of the potential minimum volumes of waste and recycling to be generated at the event (refer tab 'Step 1 &amp; Step 2 Event Details')
Step 3 - Determining the waste and recycling bin services for the event and estimating the minimum number of bins required for public place and back of house areas (refer tab 'Steps 3 Bin Selection')
Step 4 - Estimation of the potential environmental savings (greenhouse gas, energy and water) from recycling activities, if the event planning follows the principles of a better practice event</t>
  </si>
  <si>
    <t>The table below provides high-level guidance on the key principles/features of a better practice event.</t>
  </si>
  <si>
    <r>
      <t>Step 3 allows event planners can determine the waste and recycling needs for the event and estimate the minimum number of public place and back of house (BOH) bins required. By filling in or utilising the drop downs all the</t>
    </r>
    <r>
      <rPr>
        <b/>
        <sz val="11"/>
        <color theme="3"/>
        <rFont val="Microsoft PhagsPa"/>
        <family val="2"/>
      </rPr>
      <t xml:space="preserve"> light blue cells</t>
    </r>
    <r>
      <rPr>
        <sz val="11"/>
        <rFont val="Microsoft PhagsPa"/>
        <family val="2"/>
      </rPr>
      <t xml:space="preserve"> in the table below (from left to right), event planners can select the desired waste and recycling streams and bin sizes/types for the event, and assumed collection/emptying frequency. 
An example of how Step 3 can be used, is if smaller public place bins (e.g. 80L bin) for each stream were regularly emptied by cleaners into larger 4.5m</t>
    </r>
    <r>
      <rPr>
        <vertAlign val="superscript"/>
        <sz val="11"/>
        <rFont val="Microsoft PhagsPa"/>
        <family val="2"/>
      </rPr>
      <t>3</t>
    </r>
    <r>
      <rPr>
        <sz val="11"/>
        <rFont val="Microsoft PhagsPa"/>
        <family val="2"/>
      </rPr>
      <t xml:space="preserve"> front-lift bulk bins at the event's BOH waste/recycling aggregation area. This would then provide an estimate for how many 80L bins would be needed, depending on how frequently they are emptied into the larger bins. 
Before selecting services for the event, planners should also consult with their waste collection contractor/cleaner or other bin provider (e.g. council) on the availability of each service and any other services that may be available, and be informed on any other requirements (e.g. spatial, access and safety requirements/considerations). Please note that the number of bins estimated should only be used as a guide, and precautions should be made in the likelihood that the event generates significant more waste than estimated. For example, spare bins or additional collections available at short notice. 
Event planners will need to make an assumptions on the percentage of waste generated by in the Public Place vs BOH for their event, by inputting the estimated percentage of waste generated in the public place areas of the event in the light blue cell below (the estimate of BOH waste generated will automatically adjust). This then changes the estimated volumes in the two (public place and BOH) tables below.</t>
    </r>
  </si>
  <si>
    <t>VLOOKUP no.</t>
  </si>
  <si>
    <t>Step 3 of this tool provides an estimation of the potential environmental savings (greenhouse gas, energy and water) from recycling activities at the event, if the event planning follows the principles of a better practice event. 
Please note that the estimation of the potential environmental benefits for the event is based on the potential volumes of waste and recycling and tonnages (based on industry averages for waste/recycling densities) that may be generated at the event, if the event planning follows the key principles of a better practice event (Step 2). It does not consider the actual volumes/tonnages of waste generated at the event. To estimated the potential environmental benefits of an event based on the actual amount of waste and recycling generated, please use 'Tool 2: Reviewing Event Waste &amp; Recycling Generation and Performance' of the 'Event Waste&amp; Recycling Planning and Review Calculator Toolkit'.</t>
  </si>
  <si>
    <r>
      <rPr>
        <u/>
        <sz val="10"/>
        <color theme="1"/>
        <rFont val="Microsoft PhagsPa"/>
        <family val="2"/>
      </rPr>
      <t>Step 1 to Step 3</t>
    </r>
    <r>
      <rPr>
        <sz val="10"/>
        <color theme="1"/>
        <rFont val="Microsoft PhagsPa"/>
        <family val="2"/>
      </rPr>
      <t xml:space="preserve">: Please note that the volume and bin estimates provided by this tool, are based on review of previous outcomes and performance from past events, and don't include the many individual considerations of any proposed event. Whilst all endeavours have been undertaken to make this tool as accurate as possible, they should only be used as a guide. Event planners should review their own practices to determine whether or not their event will generate the amount of waste of a better practice event or a typical event and ensure precautions are in place to manage unexpected volumes of waste generated by their event. This should be done in consultation with the event's cleaning/waste contractors.
</t>
    </r>
    <r>
      <rPr>
        <u/>
        <sz val="10"/>
        <color theme="1"/>
        <rFont val="Microsoft PhagsPa"/>
        <family val="2"/>
      </rPr>
      <t>Step 4</t>
    </r>
    <r>
      <rPr>
        <sz val="10"/>
        <color theme="1"/>
        <rFont val="Microsoft PhagsPa"/>
        <family val="2"/>
      </rPr>
      <t>: The estimation of the potential environmental benefits for the event is based on the potential volumes of waste and recycling and tonnages (based on industry averages for waste/recycling densities) that may be generated at the event, if the event planning follows the key principles of a better practice event (Step 2). It does not consider the actual volumes/tonnages of waste generated at the event. To estimated the potential environmental benefits of an event based on the actual amount of waste and recycling generated, please use 'Tool 2: Reviewing Event Waste &amp; Recycling Generation and Performance' of the 'Event Waste&amp; Recycling Planning and Review Calculator Toolkit'.</t>
    </r>
  </si>
  <si>
    <t>needs to have a minimum number defined foe event sizes e.g. 2 of each for 50-200 patrons; 3 of each for 200-600?; then use Byron claculations?</t>
  </si>
  <si>
    <t>Otherwise</t>
  </si>
  <si>
    <t>minimum number of bins if event less than 200 persons per day</t>
  </si>
  <si>
    <t>Total from Step 2</t>
  </si>
  <si>
    <t>Match?</t>
  </si>
  <si>
    <r>
      <t xml:space="preserve">This step provides the base event details that are used to estimate waste and recycling generation, for if planning for the event that follows the key principles of a better practice event.
Please fill in or use the drop downs in all light blue cells below in the format for the information as indicated in the notes/options column (until the Step 1 progress note text changes to </t>
    </r>
    <r>
      <rPr>
        <b/>
        <sz val="10"/>
        <color rgb="FF00B050"/>
        <rFont val="Microsoft PhagsPa"/>
        <family val="2"/>
      </rPr>
      <t>green</t>
    </r>
    <r>
      <rPr>
        <sz val="10"/>
        <rFont val="Microsoft PhagsPa"/>
        <family val="2"/>
      </rPr>
      <t>).</t>
    </r>
  </si>
  <si>
    <r>
      <t xml:space="preserve">Step 2 provides an estimate of the expected volumes of waste and recycling streams for the proposed event based on the details entered in Step, and if planning for the event that follows the key principles of a better practice event. These volumes are used in Step 3 where event planners can estimate the amount of bins they may require for public place and back of house areas, depending on the types of services, bin sizes etc. that they use during the event.
</t>
    </r>
    <r>
      <rPr>
        <i/>
        <sz val="10"/>
        <rFont val="Microsoft PhagsPa"/>
        <family val="2"/>
      </rPr>
      <t>*Note regarding dry waste stream: A dry waste stream may only be available in certain locations. If no dry waste stream is available in your area, assume that the dry waste stream volumes are to be included in the general waste stream that is destined to landfill.</t>
    </r>
  </si>
  <si>
    <t>This Small to Medium Event Waste &amp; Recycling Planning Tool has been developed to assist small-medium sized event planners estimate the waste and recycling needs for an event that follows the key principles of a better practice event. This includes estimation of the following:
• Potential volumes of waste and recycling that may be generated
• Minimum number of bins required to manage the estimates waste volumes, depending on the available bin services and bin types/sizes planned to be used
• Potential environmental savings (greenhouse gas, energy and water).</t>
  </si>
  <si>
    <t>Est. landfill waste generation per patron (kg/p/day)</t>
  </si>
  <si>
    <t>Composting</t>
  </si>
  <si>
    <t xml:space="preserve">Total est. landfill waste generated at the event if typical event practices are followed </t>
  </si>
  <si>
    <t xml:space="preserve">Total estimated landfill waste generated at the event if better practice principles/features are implemented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</si>
</sst>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3" formatCode="_-* #,##0.00_-;\-* #,##0.00_-;_-* &quot;-&quot;??_-;_-@_-"/>
    <numFmt numFmtId="164" formatCode="&quot; &quot;&quot;$&quot;#,##0.00&quot; &quot;;&quot;-&quot;&quot;$&quot;#,##0.00&quot; &quot;;&quot; &quot;&quot;$&quot;&quot;-&quot;00&quot; &quot;;&quot; &quot;@&quot; &quot;"/>
    <numFmt numFmtId="165" formatCode="mmm\,\ yyyy"/>
    <numFmt numFmtId="166" formatCode="0.000"/>
    <numFmt numFmtId="167" formatCode="0.0%"/>
    <numFmt numFmtId="168" formatCode="#,##0_ ;\-#,##0\ "/>
    <numFmt numFmtId="169" formatCode="#,##0.0"/>
    <numFmt numFmtId="170" formatCode="0.00000000"/>
    <numFmt numFmtId="171" formatCode="@&quot;*&quot;"/>
  </numFmts>
  <fonts count="81" x14ac:knownFonts="1">
    <font>
      <sz val="11"/>
      <color theme="1"/>
      <name val="Calibri"/>
      <family val="2"/>
      <scheme val="minor"/>
    </font>
    <font>
      <sz val="11"/>
      <color theme="1"/>
      <name val="Microsoft PhagsPa"/>
      <family val="2"/>
    </font>
    <font>
      <sz val="11"/>
      <color theme="1"/>
      <name val="Microsoft PhagsPa"/>
      <family val="2"/>
    </font>
    <font>
      <sz val="11"/>
      <color theme="1"/>
      <name val="Calibri"/>
      <family val="2"/>
      <scheme val="minor"/>
    </font>
    <font>
      <sz val="11"/>
      <color theme="0"/>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sz val="11"/>
      <color rgb="FFFF0000"/>
      <name val="Calibri"/>
      <family val="2"/>
      <scheme val="minor"/>
    </font>
    <font>
      <sz val="11"/>
      <color rgb="FF000000"/>
      <name val="Arial"/>
      <family val="2"/>
    </font>
    <font>
      <b/>
      <sz val="11"/>
      <color theme="0"/>
      <name val="Microsoft PhagsPa"/>
      <family val="2"/>
    </font>
    <font>
      <sz val="11"/>
      <name val="Microsoft PhagsPa"/>
      <family val="2"/>
    </font>
    <font>
      <b/>
      <sz val="11"/>
      <name val="Microsoft PhagsPa"/>
      <family val="2"/>
    </font>
    <font>
      <i/>
      <sz val="11"/>
      <name val="Microsoft PhagsPa"/>
      <family val="2"/>
    </font>
    <font>
      <b/>
      <sz val="4"/>
      <color theme="7"/>
      <name val="Microsoft PhagsPa"/>
      <family val="2"/>
    </font>
    <font>
      <sz val="4"/>
      <name val="Microsoft PhagsPa"/>
      <family val="2"/>
    </font>
    <font>
      <sz val="4"/>
      <color theme="7"/>
      <name val="Microsoft PhagsPa"/>
      <family val="2"/>
    </font>
    <font>
      <i/>
      <sz val="10"/>
      <name val="Microsoft PhagsPa"/>
      <family val="2"/>
    </font>
    <font>
      <b/>
      <i/>
      <sz val="10"/>
      <name val="Microsoft PhagsPa"/>
      <family val="2"/>
    </font>
    <font>
      <sz val="9"/>
      <color theme="1"/>
      <name val="Arial"/>
      <family val="2"/>
    </font>
    <font>
      <sz val="11"/>
      <color theme="0"/>
      <name val="Microsoft PhagsPa"/>
      <family val="2"/>
    </font>
    <font>
      <vertAlign val="superscript"/>
      <sz val="11"/>
      <color theme="1"/>
      <name val="Calibri"/>
      <family val="2"/>
      <scheme val="minor"/>
    </font>
    <font>
      <b/>
      <sz val="11"/>
      <name val="Calibri"/>
      <family val="2"/>
      <scheme val="minor"/>
    </font>
    <font>
      <b/>
      <sz val="10"/>
      <color theme="3"/>
      <name val="Microsoft PhagsPa"/>
      <family val="2"/>
    </font>
    <font>
      <b/>
      <sz val="14"/>
      <color theme="0"/>
      <name val="Microsoft PhagsPa"/>
      <family val="2"/>
    </font>
    <font>
      <b/>
      <sz val="10"/>
      <color theme="7"/>
      <name val="Microsoft PhagsPa"/>
      <family val="2"/>
    </font>
    <font>
      <b/>
      <sz val="10"/>
      <name val="Microsoft PhagsPa"/>
      <family val="2"/>
    </font>
    <font>
      <sz val="10"/>
      <color theme="1"/>
      <name val="Microsoft PhagsPa"/>
      <family val="2"/>
    </font>
    <font>
      <sz val="10"/>
      <name val="Microsoft PhagsPa"/>
      <family val="2"/>
    </font>
    <font>
      <b/>
      <sz val="12"/>
      <color theme="0"/>
      <name val="Microsoft PhagsPa"/>
      <family val="2"/>
    </font>
    <font>
      <b/>
      <sz val="10"/>
      <color rgb="FFFF0000"/>
      <name val="Microsoft PhagsPa"/>
      <family val="2"/>
    </font>
    <font>
      <b/>
      <sz val="10"/>
      <color theme="1"/>
      <name val="Microsoft PhagsPa"/>
      <family val="2"/>
    </font>
    <font>
      <b/>
      <sz val="10"/>
      <color theme="0"/>
      <name val="Microsoft PhagsPa"/>
      <family val="2"/>
    </font>
    <font>
      <sz val="10"/>
      <color theme="0"/>
      <name val="Microsoft PhagsPa"/>
      <family val="2"/>
    </font>
    <font>
      <b/>
      <sz val="10"/>
      <color theme="5"/>
      <name val="Microsoft PhagsPa"/>
      <family val="2"/>
    </font>
    <font>
      <sz val="10"/>
      <color theme="5"/>
      <name val="Microsoft PhagsPa"/>
      <family val="2"/>
    </font>
    <font>
      <b/>
      <sz val="10"/>
      <color theme="4"/>
      <name val="Microsoft PhagsPa"/>
      <family val="2"/>
    </font>
    <font>
      <b/>
      <sz val="10"/>
      <color rgb="FF00B050"/>
      <name val="Microsoft PhagsPa"/>
      <family val="2"/>
    </font>
    <font>
      <b/>
      <sz val="10"/>
      <color rgb="FFFFC000"/>
      <name val="Microsoft PhagsPa"/>
      <family val="2"/>
    </font>
    <font>
      <b/>
      <sz val="10"/>
      <color rgb="FF92D050"/>
      <name val="Microsoft PhagsPa"/>
      <family val="2"/>
    </font>
    <font>
      <b/>
      <sz val="14"/>
      <color rgb="FF00B050"/>
      <name val="Microsoft PhagsPa"/>
      <family val="2"/>
    </font>
    <font>
      <b/>
      <sz val="14"/>
      <color rgb="FFC00000"/>
      <name val="Microsoft PhagsPa"/>
      <family val="2"/>
    </font>
    <font>
      <b/>
      <sz val="11"/>
      <color theme="3"/>
      <name val="Microsoft PhagsPa"/>
      <family val="2"/>
    </font>
    <font>
      <sz val="12"/>
      <name val="Microsoft PhagsPa"/>
      <family val="2"/>
    </font>
    <font>
      <b/>
      <sz val="12"/>
      <color theme="7"/>
      <name val="Microsoft PhagsPa"/>
      <family val="2"/>
    </font>
    <font>
      <sz val="8"/>
      <color rgb="FF000000"/>
      <name val="Arial"/>
      <family val="2"/>
    </font>
    <font>
      <b/>
      <sz val="9"/>
      <color rgb="FF000000"/>
      <name val="Times New Roman"/>
      <family val="1"/>
    </font>
    <font>
      <b/>
      <sz val="8"/>
      <color rgb="FF000000"/>
      <name val="Arial"/>
      <family val="2"/>
    </font>
    <font>
      <sz val="11"/>
      <color theme="4"/>
      <name val="Calibri"/>
      <family val="2"/>
      <scheme val="minor"/>
    </font>
    <font>
      <b/>
      <sz val="11"/>
      <color indexed="8"/>
      <name val="Calibri"/>
      <family val="2"/>
      <scheme val="minor"/>
    </font>
    <font>
      <i/>
      <sz val="10"/>
      <name val="Calibri"/>
      <family val="2"/>
      <scheme val="minor"/>
    </font>
    <font>
      <b/>
      <sz val="9"/>
      <color theme="1"/>
      <name val="Arial"/>
      <family val="2"/>
    </font>
    <font>
      <b/>
      <sz val="18"/>
      <color theme="7"/>
      <name val="Calibri"/>
      <family val="2"/>
      <scheme val="minor"/>
    </font>
    <font>
      <b/>
      <sz val="18"/>
      <color theme="9" tint="-0.249977111117893"/>
      <name val="Calibri"/>
      <family val="2"/>
      <scheme val="minor"/>
    </font>
    <font>
      <b/>
      <sz val="18"/>
      <color theme="5"/>
      <name val="Calibri"/>
      <family val="2"/>
      <scheme val="minor"/>
    </font>
    <font>
      <b/>
      <sz val="18"/>
      <color theme="3"/>
      <name val="Calibri"/>
      <family val="2"/>
      <scheme val="minor"/>
    </font>
    <font>
      <b/>
      <sz val="22"/>
      <color theme="0"/>
      <name val="Microsoft PhagsPa"/>
      <family val="2"/>
    </font>
    <font>
      <i/>
      <sz val="11"/>
      <color rgb="FF000000"/>
      <name val="Lucida Sans"/>
      <family val="2"/>
    </font>
    <font>
      <sz val="6"/>
      <color theme="1"/>
      <name val="Microsoft PhagsPa"/>
      <family val="2"/>
    </font>
    <font>
      <sz val="6"/>
      <name val="Microsoft PhagsPa"/>
      <family val="2"/>
    </font>
    <font>
      <b/>
      <sz val="6"/>
      <name val="Microsoft PhagsPa"/>
      <family val="2"/>
    </font>
    <font>
      <sz val="6"/>
      <color theme="7"/>
      <name val="Microsoft PhagsPa"/>
      <family val="2"/>
    </font>
    <font>
      <b/>
      <vertAlign val="superscript"/>
      <sz val="8"/>
      <color rgb="FF000000"/>
      <name val="Arial"/>
      <family val="2"/>
    </font>
    <font>
      <b/>
      <vertAlign val="superscript"/>
      <sz val="11"/>
      <color rgb="FF000000"/>
      <name val="Calibri"/>
      <family val="2"/>
      <scheme val="minor"/>
    </font>
    <font>
      <i/>
      <sz val="9"/>
      <color theme="1"/>
      <name val="Microsoft PhagsPa"/>
      <family val="2"/>
    </font>
    <font>
      <i/>
      <sz val="10"/>
      <color theme="1"/>
      <name val="Microsoft PhagsPa"/>
      <family val="2"/>
    </font>
    <font>
      <b/>
      <sz val="6"/>
      <color theme="7"/>
      <name val="Microsoft PhagsPa"/>
      <family val="2"/>
    </font>
    <font>
      <sz val="6"/>
      <color theme="1"/>
      <name val="Calibri"/>
      <family val="2"/>
      <scheme val="minor"/>
    </font>
    <font>
      <b/>
      <sz val="6"/>
      <color theme="0"/>
      <name val="Microsoft PhagsPa"/>
      <family val="2"/>
    </font>
    <font>
      <b/>
      <sz val="6"/>
      <color theme="1"/>
      <name val="Microsoft PhagsPa"/>
      <family val="2"/>
    </font>
    <font>
      <b/>
      <sz val="16"/>
      <color theme="5"/>
      <name val="Microsoft PhagsPa"/>
      <family val="2"/>
    </font>
    <font>
      <b/>
      <sz val="16"/>
      <name val="Microsoft PhagsPa"/>
      <family val="2"/>
    </font>
    <font>
      <sz val="10"/>
      <color theme="1"/>
      <name val="Calibri"/>
      <family val="2"/>
      <scheme val="minor"/>
    </font>
    <font>
      <sz val="10"/>
      <color rgb="FFFF0000"/>
      <name val="Microsoft PhagsPa"/>
      <family val="2"/>
    </font>
    <font>
      <b/>
      <u/>
      <sz val="10"/>
      <name val="Microsoft PhagsPa"/>
      <family val="2"/>
    </font>
    <font>
      <sz val="10"/>
      <color rgb="FF00B050"/>
      <name val="Microsoft PhagsPa"/>
      <family val="2"/>
    </font>
    <font>
      <sz val="10"/>
      <color rgb="FFC00000"/>
      <name val="Microsoft PhagsPa"/>
      <family val="2"/>
    </font>
    <font>
      <vertAlign val="superscript"/>
      <sz val="11"/>
      <name val="Microsoft PhagsPa"/>
      <family val="2"/>
    </font>
    <font>
      <b/>
      <sz val="10"/>
      <color rgb="FFC00000"/>
      <name val="Microsoft PhagsPa"/>
      <family val="2"/>
    </font>
    <font>
      <sz val="10"/>
      <color theme="7"/>
      <name val="Microsoft PhagsPa"/>
      <family val="2"/>
    </font>
    <font>
      <u/>
      <sz val="10"/>
      <color theme="1"/>
      <name val="Microsoft PhagsPa"/>
      <family val="2"/>
    </font>
  </fonts>
  <fills count="37">
    <fill>
      <patternFill patternType="none"/>
    </fill>
    <fill>
      <patternFill patternType="gray125"/>
    </fill>
    <fill>
      <patternFill patternType="solid">
        <fgColor theme="3"/>
        <bgColor indexed="64"/>
      </patternFill>
    </fill>
    <fill>
      <patternFill patternType="solid">
        <fgColor theme="3" tint="0.79998168889431442"/>
        <bgColor indexed="64"/>
      </patternFill>
    </fill>
    <fill>
      <patternFill patternType="solid">
        <fgColor theme="4"/>
        <bgColor indexed="64"/>
      </patternFill>
    </fill>
    <fill>
      <patternFill patternType="solid">
        <fgColor rgb="FFC00000"/>
        <bgColor indexed="64"/>
      </patternFill>
    </fill>
    <fill>
      <patternFill patternType="solid">
        <fgColor rgb="FFFF0000"/>
        <bgColor indexed="64"/>
      </patternFill>
    </fill>
    <fill>
      <patternFill patternType="solid">
        <fgColor rgb="FFFFFF00"/>
        <bgColor indexed="64"/>
      </patternFill>
    </fill>
    <fill>
      <patternFill patternType="solid">
        <fgColor theme="8"/>
        <bgColor indexed="64"/>
      </patternFill>
    </fill>
    <fill>
      <patternFill patternType="solid">
        <fgColor rgb="FFFFC000"/>
        <bgColor indexed="64"/>
      </patternFill>
    </fill>
    <fill>
      <patternFill patternType="solid">
        <fgColor rgb="FF00B0F0"/>
        <bgColor indexed="64"/>
      </patternFill>
    </fill>
    <fill>
      <patternFill patternType="solid">
        <fgColor theme="1"/>
        <bgColor indexed="64"/>
      </patternFill>
    </fill>
    <fill>
      <patternFill patternType="solid">
        <fgColor theme="7"/>
        <bgColor indexed="64"/>
      </patternFill>
    </fill>
    <fill>
      <patternFill patternType="solid">
        <fgColor theme="5" tint="-0.499984740745262"/>
        <bgColor indexed="64"/>
      </patternFill>
    </fill>
    <fill>
      <patternFill patternType="solid">
        <fgColor rgb="FF99FF66"/>
        <bgColor indexed="64"/>
      </patternFill>
    </fill>
    <fill>
      <patternFill patternType="solid">
        <fgColor rgb="FF7030A0"/>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4" tint="-0.249977111117893"/>
        <bgColor indexed="64"/>
      </patternFill>
    </fill>
    <fill>
      <patternFill patternType="solid">
        <fgColor theme="6" tint="0.79998168889431442"/>
        <bgColor indexed="64"/>
      </patternFill>
    </fill>
    <fill>
      <patternFill patternType="solid">
        <fgColor theme="9" tint="0.59999389629810485"/>
        <bgColor indexed="64"/>
      </patternFill>
    </fill>
    <fill>
      <patternFill patternType="solid">
        <fgColor theme="5"/>
        <bgColor indexed="64"/>
      </patternFill>
    </fill>
    <fill>
      <patternFill patternType="solid">
        <fgColor theme="1" tint="4.9989318521683403E-2"/>
        <bgColor indexed="64"/>
      </patternFill>
    </fill>
    <fill>
      <patternFill patternType="solid">
        <fgColor theme="5" tint="0.79998168889431442"/>
        <bgColor indexed="64"/>
      </patternFill>
    </fill>
    <fill>
      <patternFill patternType="solid">
        <fgColor theme="1" tint="0.499984740745262"/>
        <bgColor indexed="64"/>
      </patternFill>
    </fill>
    <fill>
      <patternFill patternType="solid">
        <fgColor theme="0" tint="-0.499984740745262"/>
        <bgColor indexed="64"/>
      </patternFill>
    </fill>
    <fill>
      <patternFill patternType="solid">
        <fgColor theme="0" tint="-0.34998626667073579"/>
        <bgColor indexed="64"/>
      </patternFill>
    </fill>
    <fill>
      <patternFill patternType="solid">
        <fgColor rgb="FF00B050"/>
        <bgColor indexed="64"/>
      </patternFill>
    </fill>
    <fill>
      <patternFill patternType="solid">
        <fgColor theme="4" tint="0.39997558519241921"/>
        <bgColor indexed="64"/>
      </patternFill>
    </fill>
    <fill>
      <patternFill patternType="solid">
        <fgColor theme="2"/>
        <bgColor indexed="64"/>
      </patternFill>
    </fill>
    <fill>
      <patternFill patternType="solid">
        <fgColor rgb="FFFFA7A7"/>
        <bgColor indexed="64"/>
      </patternFill>
    </fill>
    <fill>
      <patternFill patternType="solid">
        <fgColor rgb="FFFFFFA7"/>
        <bgColor indexed="64"/>
      </patternFill>
    </fill>
    <fill>
      <patternFill patternType="solid">
        <fgColor theme="5" tint="0.39997558519241921"/>
        <bgColor indexed="64"/>
      </patternFill>
    </fill>
    <fill>
      <patternFill patternType="solid">
        <fgColor rgb="FFFFFFCC"/>
        <bgColor indexed="64"/>
      </patternFill>
    </fill>
    <fill>
      <patternFill patternType="solid">
        <fgColor theme="5" tint="0.59999389629810485"/>
        <bgColor indexed="64"/>
      </patternFill>
    </fill>
    <fill>
      <patternFill patternType="solid">
        <fgColor theme="3" tint="0.39997558519241921"/>
        <bgColor indexed="64"/>
      </patternFill>
    </fill>
  </fills>
  <borders count="144">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auto="1"/>
      </left>
      <right style="thin">
        <color auto="1"/>
      </right>
      <top style="thin">
        <color auto="1"/>
      </top>
      <bottom style="thin">
        <color auto="1"/>
      </bottom>
      <diagonal/>
    </border>
    <border>
      <left style="thin">
        <color theme="2"/>
      </left>
      <right style="thin">
        <color theme="2"/>
      </right>
      <top style="thin">
        <color theme="2"/>
      </top>
      <bottom style="thin">
        <color theme="2"/>
      </bottom>
      <diagonal/>
    </border>
    <border>
      <left style="thin">
        <color theme="0"/>
      </left>
      <right style="thin">
        <color theme="0"/>
      </right>
      <top style="thin">
        <color theme="0"/>
      </top>
      <bottom style="thin">
        <color theme="0"/>
      </bottom>
      <diagonal/>
    </border>
    <border>
      <left style="thin">
        <color theme="2"/>
      </left>
      <right/>
      <top/>
      <bottom style="thin">
        <color theme="2"/>
      </bottom>
      <diagonal/>
    </border>
    <border>
      <left style="thin">
        <color theme="2"/>
      </left>
      <right/>
      <top style="thin">
        <color theme="2"/>
      </top>
      <bottom style="thin">
        <color theme="2"/>
      </bottom>
      <diagonal/>
    </border>
    <border>
      <left style="thin">
        <color theme="0" tint="-0.34998626667073579"/>
      </left>
      <right/>
      <top style="thin">
        <color theme="0" tint="-0.34998626667073579"/>
      </top>
      <bottom style="thin">
        <color theme="0" tint="-0.34998626667073579"/>
      </bottom>
      <diagonal/>
    </border>
    <border>
      <left style="thin">
        <color theme="0" tint="-0.34998626667073579"/>
      </left>
      <right/>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right style="thick">
        <color indexed="64"/>
      </right>
      <top/>
      <bottom/>
      <diagonal/>
    </border>
    <border>
      <left style="thin">
        <color theme="0" tint="-0.34998626667073579"/>
      </left>
      <right style="thick">
        <color indexed="64"/>
      </right>
      <top style="thin">
        <color theme="0" tint="-0.34998626667073579"/>
      </top>
      <bottom style="thin">
        <color theme="0" tint="-0.34998626667073579"/>
      </bottom>
      <diagonal/>
    </border>
    <border>
      <left style="thin">
        <color theme="0" tint="-0.34998626667073579"/>
      </left>
      <right style="thick">
        <color indexed="64"/>
      </right>
      <top/>
      <bottom style="thin">
        <color theme="0" tint="-0.34998626667073579"/>
      </bottom>
      <diagonal/>
    </border>
    <border>
      <left/>
      <right style="thick">
        <color indexed="64"/>
      </right>
      <top style="thin">
        <color theme="0" tint="-0.34998626667073579"/>
      </top>
      <bottom style="thin">
        <color theme="0" tint="-0.34998626667073579"/>
      </bottom>
      <diagonal/>
    </border>
    <border>
      <left/>
      <right style="thick">
        <color indexed="64"/>
      </right>
      <top/>
      <bottom style="thin">
        <color theme="0" tint="-0.34998626667073579"/>
      </bottom>
      <diagonal/>
    </border>
    <border>
      <left style="thick">
        <color indexed="64"/>
      </left>
      <right/>
      <top/>
      <bottom/>
      <diagonal/>
    </border>
    <border>
      <left style="thick">
        <color indexed="64"/>
      </left>
      <right style="thin">
        <color theme="0" tint="-0.34998626667073579"/>
      </right>
      <top style="thin">
        <color theme="0" tint="-0.34998626667073579"/>
      </top>
      <bottom style="thin">
        <color theme="0" tint="-0.34998626667073579"/>
      </bottom>
      <diagonal/>
    </border>
    <border>
      <left style="thick">
        <color indexed="64"/>
      </left>
      <right style="thin">
        <color theme="0" tint="-0.34998626667073579"/>
      </right>
      <top/>
      <bottom style="thin">
        <color theme="0" tint="-0.34998626667073579"/>
      </bottom>
      <diagonal/>
    </border>
    <border>
      <left/>
      <right/>
      <top/>
      <bottom style="thick">
        <color indexed="64"/>
      </bottom>
      <diagonal/>
    </border>
    <border>
      <left style="thin">
        <color theme="0" tint="-0.34998626667073579"/>
      </left>
      <right style="thin">
        <color theme="0" tint="-0.34998626667073579"/>
      </right>
      <top style="thick">
        <color indexed="64"/>
      </top>
      <bottom style="thin">
        <color theme="0" tint="-0.34998626667073579"/>
      </bottom>
      <diagonal/>
    </border>
    <border>
      <left style="thin">
        <color theme="0" tint="-0.34998626667073579"/>
      </left>
      <right/>
      <top style="thick">
        <color indexed="64"/>
      </top>
      <bottom style="thin">
        <color theme="0" tint="-0.34998626667073579"/>
      </bottom>
      <diagonal/>
    </border>
    <border>
      <left/>
      <right/>
      <top style="thick">
        <color indexed="64"/>
      </top>
      <bottom/>
      <diagonal/>
    </border>
    <border>
      <left style="thick">
        <color indexed="64"/>
      </left>
      <right style="thin">
        <color theme="0" tint="-0.34998626667073579"/>
      </right>
      <top style="thick">
        <color indexed="64"/>
      </top>
      <bottom style="thin">
        <color theme="0" tint="-0.34998626667073579"/>
      </bottom>
      <diagonal/>
    </border>
    <border>
      <left style="thin">
        <color theme="0" tint="-0.34998626667073579"/>
      </left>
      <right style="thick">
        <color indexed="64"/>
      </right>
      <top style="thick">
        <color indexed="64"/>
      </top>
      <bottom style="thin">
        <color theme="0" tint="-0.34998626667073579"/>
      </bottom>
      <diagonal/>
    </border>
    <border>
      <left/>
      <right style="thick">
        <color indexed="64"/>
      </right>
      <top style="thick">
        <color indexed="64"/>
      </top>
      <bottom style="thin">
        <color theme="0" tint="-0.34998626667073579"/>
      </bottom>
      <diagonal/>
    </border>
    <border>
      <left/>
      <right style="thin">
        <color theme="0" tint="-0.34998626667073579"/>
      </right>
      <top style="thick">
        <color indexed="64"/>
      </top>
      <bottom style="thin">
        <color theme="0" tint="-0.34998626667073579"/>
      </bottom>
      <diagonal/>
    </border>
    <border>
      <left/>
      <right style="thin">
        <color theme="2"/>
      </right>
      <top style="thin">
        <color theme="2"/>
      </top>
      <bottom style="thin">
        <color theme="2"/>
      </bottom>
      <diagonal/>
    </border>
    <border>
      <left style="thin">
        <color theme="0"/>
      </left>
      <right/>
      <top style="thin">
        <color theme="0"/>
      </top>
      <bottom style="thin">
        <color theme="0"/>
      </bottom>
      <diagonal/>
    </border>
    <border>
      <left style="thin">
        <color theme="2"/>
      </left>
      <right/>
      <top/>
      <bottom/>
      <diagonal/>
    </border>
    <border>
      <left/>
      <right/>
      <top style="thin">
        <color rgb="FFFF0000"/>
      </top>
      <bottom/>
      <diagonal/>
    </border>
    <border>
      <left/>
      <right/>
      <top style="thick">
        <color rgb="FFFF0000"/>
      </top>
      <bottom/>
      <diagonal/>
    </border>
    <border>
      <left style="thick">
        <color indexed="64"/>
      </left>
      <right/>
      <top style="thick">
        <color rgb="FFFF0000"/>
      </top>
      <bottom/>
      <diagonal/>
    </border>
    <border>
      <left/>
      <right/>
      <top style="medium">
        <color theme="3"/>
      </top>
      <bottom/>
      <diagonal/>
    </border>
    <border>
      <left style="thin">
        <color theme="0"/>
      </left>
      <right style="thin">
        <color theme="0"/>
      </right>
      <top style="thin">
        <color theme="0"/>
      </top>
      <bottom/>
      <diagonal/>
    </border>
    <border>
      <left style="thin">
        <color theme="2"/>
      </left>
      <right style="thin">
        <color theme="2"/>
      </right>
      <top style="medium">
        <color indexed="64"/>
      </top>
      <bottom style="thin">
        <color theme="2"/>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right style="thin">
        <color auto="1"/>
      </right>
      <top style="medium">
        <color indexed="64"/>
      </top>
      <bottom style="thin">
        <color auto="1"/>
      </bottom>
      <diagonal/>
    </border>
    <border>
      <left/>
      <right style="thin">
        <color auto="1"/>
      </right>
      <top style="thin">
        <color auto="1"/>
      </top>
      <bottom style="thin">
        <color auto="1"/>
      </bottom>
      <diagonal/>
    </border>
    <border>
      <left/>
      <right/>
      <top style="thin">
        <color theme="3"/>
      </top>
      <bottom style="thin">
        <color theme="3"/>
      </bottom>
      <diagonal/>
    </border>
    <border>
      <left/>
      <right style="medium">
        <color theme="3"/>
      </right>
      <top style="medium">
        <color theme="3"/>
      </top>
      <bottom style="thin">
        <color theme="3"/>
      </bottom>
      <diagonal/>
    </border>
    <border>
      <left/>
      <right/>
      <top style="medium">
        <color theme="3"/>
      </top>
      <bottom style="thin">
        <color theme="3"/>
      </bottom>
      <diagonal/>
    </border>
    <border>
      <left/>
      <right style="medium">
        <color theme="3"/>
      </right>
      <top style="thin">
        <color theme="3"/>
      </top>
      <bottom style="thin">
        <color theme="3"/>
      </bottom>
      <diagonal/>
    </border>
    <border>
      <left/>
      <right style="thin">
        <color theme="2"/>
      </right>
      <top/>
      <bottom style="thin">
        <color theme="2"/>
      </bottom>
      <diagonal/>
    </border>
    <border>
      <left style="thin">
        <color theme="2"/>
      </left>
      <right style="thin">
        <color theme="2"/>
      </right>
      <top/>
      <bottom style="thin">
        <color theme="2"/>
      </bottom>
      <diagonal/>
    </border>
    <border>
      <left/>
      <right style="medium">
        <color rgb="FFFF0000"/>
      </right>
      <top/>
      <bottom/>
      <diagonal/>
    </border>
    <border>
      <left/>
      <right style="medium">
        <color rgb="FFFF0000"/>
      </right>
      <top/>
      <bottom style="thick">
        <color indexed="64"/>
      </bottom>
      <diagonal/>
    </border>
    <border>
      <left/>
      <right style="medium">
        <color rgb="FFFF0000"/>
      </right>
      <top style="thick">
        <color indexed="64"/>
      </top>
      <bottom style="thin">
        <color theme="0" tint="-0.34998626667073579"/>
      </bottom>
      <diagonal/>
    </border>
    <border>
      <left/>
      <right style="medium">
        <color rgb="FFFF0000"/>
      </right>
      <top/>
      <bottom style="thin">
        <color theme="0" tint="-0.34998626667073579"/>
      </bottom>
      <diagonal/>
    </border>
    <border>
      <left/>
      <right style="medium">
        <color rgb="FFFF0000"/>
      </right>
      <top style="thin">
        <color theme="0" tint="-0.34998626667073579"/>
      </top>
      <bottom style="thin">
        <color theme="0" tint="-0.34998626667073579"/>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theme="3"/>
      </left>
      <right/>
      <top/>
      <bottom/>
      <diagonal/>
    </border>
    <border>
      <left/>
      <right style="medium">
        <color theme="3"/>
      </right>
      <top/>
      <bottom/>
      <diagonal/>
    </border>
    <border>
      <left style="medium">
        <color theme="5"/>
      </left>
      <right/>
      <top style="medium">
        <color theme="5"/>
      </top>
      <bottom/>
      <diagonal/>
    </border>
    <border>
      <left/>
      <right/>
      <top style="medium">
        <color theme="5"/>
      </top>
      <bottom/>
      <diagonal/>
    </border>
    <border>
      <left/>
      <right style="medium">
        <color theme="5"/>
      </right>
      <top style="medium">
        <color theme="5"/>
      </top>
      <bottom/>
      <diagonal/>
    </border>
    <border>
      <left style="medium">
        <color theme="5"/>
      </left>
      <right/>
      <top/>
      <bottom/>
      <diagonal/>
    </border>
    <border>
      <left/>
      <right style="medium">
        <color theme="5"/>
      </right>
      <top/>
      <bottom/>
      <diagonal/>
    </border>
    <border>
      <left style="medium">
        <color theme="5"/>
      </left>
      <right/>
      <top/>
      <bottom style="medium">
        <color theme="5"/>
      </bottom>
      <diagonal/>
    </border>
    <border>
      <left/>
      <right/>
      <top/>
      <bottom style="medium">
        <color theme="5"/>
      </bottom>
      <diagonal/>
    </border>
    <border>
      <left/>
      <right style="medium">
        <color theme="5"/>
      </right>
      <top/>
      <bottom style="medium">
        <color theme="5"/>
      </bottom>
      <diagonal/>
    </border>
    <border>
      <left style="thin">
        <color theme="2"/>
      </left>
      <right/>
      <top style="thin">
        <color theme="2"/>
      </top>
      <bottom style="medium">
        <color indexed="64"/>
      </bottom>
      <diagonal/>
    </border>
    <border>
      <left style="thin">
        <color theme="2"/>
      </left>
      <right/>
      <top/>
      <bottom style="medium">
        <color indexed="64"/>
      </bottom>
      <diagonal/>
    </border>
    <border>
      <left style="thin">
        <color theme="2"/>
      </left>
      <right/>
      <top style="thin">
        <color theme="2"/>
      </top>
      <bottom style="medium">
        <color theme="5"/>
      </bottom>
      <diagonal/>
    </border>
    <border>
      <left style="medium">
        <color theme="3"/>
      </left>
      <right/>
      <top style="thin">
        <color theme="3"/>
      </top>
      <bottom/>
      <diagonal/>
    </border>
    <border>
      <left style="thin">
        <color theme="0"/>
      </left>
      <right style="thin">
        <color theme="0"/>
      </right>
      <top/>
      <bottom style="thin">
        <color theme="0"/>
      </bottom>
      <diagonal/>
    </border>
    <border>
      <left style="medium">
        <color theme="3"/>
      </left>
      <right/>
      <top style="medium">
        <color theme="3"/>
      </top>
      <bottom style="medium">
        <color theme="3"/>
      </bottom>
      <diagonal/>
    </border>
    <border>
      <left/>
      <right style="medium">
        <color theme="3"/>
      </right>
      <top style="medium">
        <color theme="3"/>
      </top>
      <bottom style="medium">
        <color theme="3"/>
      </bottom>
      <diagonal/>
    </border>
    <border>
      <left style="medium">
        <color theme="3"/>
      </left>
      <right style="medium">
        <color theme="3"/>
      </right>
      <top/>
      <bottom/>
      <diagonal/>
    </border>
    <border>
      <left style="medium">
        <color theme="5"/>
      </left>
      <right style="medium">
        <color theme="5"/>
      </right>
      <top style="medium">
        <color theme="5"/>
      </top>
      <bottom/>
      <diagonal/>
    </border>
    <border>
      <left style="medium">
        <color theme="5"/>
      </left>
      <right style="medium">
        <color theme="5"/>
      </right>
      <top/>
      <bottom/>
      <diagonal/>
    </border>
    <border>
      <left style="medium">
        <color theme="5"/>
      </left>
      <right style="medium">
        <color theme="5"/>
      </right>
      <top/>
      <bottom style="medium">
        <color theme="5"/>
      </bottom>
      <diagonal/>
    </border>
    <border>
      <left/>
      <right/>
      <top style="medium">
        <color theme="3"/>
      </top>
      <bottom style="medium">
        <color theme="3"/>
      </bottom>
      <diagonal/>
    </border>
    <border>
      <left/>
      <right/>
      <top style="thin">
        <color theme="0"/>
      </top>
      <bottom style="thin">
        <color theme="0"/>
      </bottom>
      <diagonal/>
    </border>
    <border>
      <left/>
      <right style="thin">
        <color theme="0"/>
      </right>
      <top style="thin">
        <color theme="0"/>
      </top>
      <bottom style="thin">
        <color theme="0"/>
      </bottom>
      <diagonal/>
    </border>
    <border>
      <left/>
      <right style="thin">
        <color theme="0"/>
      </right>
      <top style="thin">
        <color theme="0"/>
      </top>
      <bottom/>
      <diagonal/>
    </border>
    <border>
      <left/>
      <right style="thin">
        <color theme="0"/>
      </right>
      <top/>
      <bottom/>
      <diagonal/>
    </border>
    <border>
      <left style="thin">
        <color theme="0"/>
      </left>
      <right/>
      <top/>
      <bottom style="thin">
        <color theme="0"/>
      </bottom>
      <diagonal/>
    </border>
    <border>
      <left style="thin">
        <color theme="0"/>
      </left>
      <right style="thin">
        <color theme="0"/>
      </right>
      <top style="hair">
        <color theme="4" tint="0.79998168889431442"/>
      </top>
      <bottom style="hair">
        <color theme="4" tint="0.79998168889431442"/>
      </bottom>
      <diagonal/>
    </border>
    <border>
      <left/>
      <right style="thick">
        <color theme="0"/>
      </right>
      <top style="thin">
        <color theme="0"/>
      </top>
      <bottom/>
      <diagonal/>
    </border>
    <border>
      <left style="thick">
        <color theme="0"/>
      </left>
      <right style="thick">
        <color theme="0"/>
      </right>
      <top style="thin">
        <color theme="0"/>
      </top>
      <bottom/>
      <diagonal/>
    </border>
    <border>
      <left style="thin">
        <color theme="0"/>
      </left>
      <right/>
      <top style="hair">
        <color theme="4" tint="0.79998168889431442"/>
      </top>
      <bottom style="hair">
        <color theme="4" tint="0.79998168889431442"/>
      </bottom>
      <diagonal/>
    </border>
    <border>
      <left style="thin">
        <color theme="0"/>
      </left>
      <right/>
      <top style="thin">
        <color theme="0"/>
      </top>
      <bottom/>
      <diagonal/>
    </border>
    <border>
      <left style="thin">
        <color theme="0"/>
      </left>
      <right/>
      <top/>
      <bottom/>
      <diagonal/>
    </border>
    <border>
      <left/>
      <right style="thin">
        <color theme="0"/>
      </right>
      <top/>
      <bottom style="thin">
        <color theme="0"/>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thin">
        <color theme="3" tint="-0.24994659260841701"/>
      </top>
      <bottom/>
      <diagonal/>
    </border>
    <border>
      <left/>
      <right/>
      <top/>
      <bottom style="thin">
        <color theme="3" tint="-0.249977111117893"/>
      </bottom>
      <diagonal/>
    </border>
    <border>
      <left/>
      <right/>
      <top style="medium">
        <color theme="3" tint="-0.24994659260841701"/>
      </top>
      <bottom style="thin">
        <color theme="3" tint="0.59996337778862885"/>
      </bottom>
      <diagonal/>
    </border>
    <border>
      <left/>
      <right/>
      <top style="thin">
        <color theme="3" tint="0.59996337778862885"/>
      </top>
      <bottom style="medium">
        <color theme="3" tint="-0.24994659260841701"/>
      </bottom>
      <diagonal/>
    </border>
    <border>
      <left/>
      <right style="thick">
        <color indexed="64"/>
      </right>
      <top/>
      <bottom style="thick">
        <color indexed="64"/>
      </bottom>
      <diagonal/>
    </border>
    <border>
      <left style="thin">
        <color auto="1"/>
      </left>
      <right style="thin">
        <color auto="1"/>
      </right>
      <top/>
      <bottom/>
      <diagonal/>
    </border>
    <border>
      <left style="medium">
        <color theme="5"/>
      </left>
      <right/>
      <top style="medium">
        <color theme="5"/>
      </top>
      <bottom style="medium">
        <color theme="5"/>
      </bottom>
      <diagonal/>
    </border>
    <border>
      <left/>
      <right style="medium">
        <color theme="5"/>
      </right>
      <top style="medium">
        <color theme="5"/>
      </top>
      <bottom style="medium">
        <color theme="5"/>
      </bottom>
      <diagonal/>
    </border>
    <border>
      <left style="medium">
        <color theme="1"/>
      </left>
      <right/>
      <top style="medium">
        <color theme="1"/>
      </top>
      <bottom/>
      <diagonal/>
    </border>
    <border>
      <left/>
      <right/>
      <top style="medium">
        <color theme="1"/>
      </top>
      <bottom/>
      <diagonal/>
    </border>
    <border>
      <left style="medium">
        <color theme="3"/>
      </left>
      <right style="medium">
        <color theme="3"/>
      </right>
      <top style="medium">
        <color theme="3"/>
      </top>
      <bottom style="medium">
        <color theme="3"/>
      </bottom>
      <diagonal/>
    </border>
    <border>
      <left style="medium">
        <color theme="3"/>
      </left>
      <right style="medium">
        <color theme="3"/>
      </right>
      <top style="medium">
        <color theme="3"/>
      </top>
      <bottom/>
      <diagonal/>
    </border>
    <border>
      <left style="medium">
        <color theme="3"/>
      </left>
      <right style="medium">
        <color theme="3"/>
      </right>
      <top style="medium">
        <color theme="3"/>
      </top>
      <bottom style="thin">
        <color theme="3"/>
      </bottom>
      <diagonal/>
    </border>
    <border>
      <left style="medium">
        <color theme="3"/>
      </left>
      <right style="medium">
        <color theme="3"/>
      </right>
      <top style="thin">
        <color theme="3"/>
      </top>
      <bottom style="thin">
        <color theme="3"/>
      </bottom>
      <diagonal/>
    </border>
    <border>
      <left style="thin">
        <color auto="1"/>
      </left>
      <right style="thin">
        <color auto="1"/>
      </right>
      <top style="thin">
        <color auto="1"/>
      </top>
      <bottom/>
      <diagonal/>
    </border>
    <border>
      <left/>
      <right/>
      <top style="medium">
        <color theme="5"/>
      </top>
      <bottom style="medium">
        <color theme="5"/>
      </bottom>
      <diagonal/>
    </border>
    <border>
      <left/>
      <right/>
      <top/>
      <bottom style="thin">
        <color theme="3"/>
      </bottom>
      <diagonal/>
    </border>
    <border>
      <left/>
      <right style="medium">
        <color theme="3"/>
      </right>
      <top/>
      <bottom style="thin">
        <color theme="3"/>
      </bottom>
      <diagonal/>
    </border>
    <border>
      <left style="medium">
        <color indexed="64"/>
      </left>
      <right style="thin">
        <color auto="1"/>
      </right>
      <top style="thin">
        <color auto="1"/>
      </top>
      <bottom/>
      <diagonal/>
    </border>
    <border>
      <left/>
      <right style="thin">
        <color auto="1"/>
      </right>
      <top style="thin">
        <color auto="1"/>
      </top>
      <bottom/>
      <diagonal/>
    </border>
    <border>
      <left style="thin">
        <color auto="1"/>
      </left>
      <right style="medium">
        <color indexed="64"/>
      </right>
      <top style="thin">
        <color auto="1"/>
      </top>
      <bottom/>
      <diagonal/>
    </border>
    <border>
      <left style="medium">
        <color indexed="64"/>
      </left>
      <right style="thin">
        <color auto="1"/>
      </right>
      <top style="medium">
        <color indexed="64"/>
      </top>
      <bottom style="medium">
        <color indexed="64"/>
      </bottom>
      <diagonal/>
    </border>
    <border>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top style="medium">
        <color indexed="64"/>
      </top>
      <bottom style="thin">
        <color auto="1"/>
      </bottom>
      <diagonal/>
    </border>
    <border>
      <left style="thin">
        <color auto="1"/>
      </left>
      <right/>
      <top style="thin">
        <color auto="1"/>
      </top>
      <bottom style="thin">
        <color auto="1"/>
      </bottom>
      <diagonal/>
    </border>
    <border>
      <left/>
      <right style="thin">
        <color theme="2"/>
      </right>
      <top style="thin">
        <color theme="2"/>
      </top>
      <bottom style="medium">
        <color theme="5"/>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theme="3"/>
      </left>
      <right/>
      <top/>
      <bottom style="thin">
        <color theme="3"/>
      </bottom>
      <diagonal/>
    </border>
    <border>
      <left style="thin">
        <color theme="2"/>
      </left>
      <right/>
      <top style="thin">
        <color theme="0"/>
      </top>
      <bottom/>
      <diagonal/>
    </border>
    <border>
      <left/>
      <right style="thin">
        <color theme="2"/>
      </right>
      <top style="thin">
        <color theme="0"/>
      </top>
      <bottom/>
      <diagonal/>
    </border>
    <border>
      <left/>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theme="2"/>
      </right>
      <top/>
      <bottom/>
      <diagonal/>
    </border>
    <border>
      <left style="thin">
        <color theme="2"/>
      </left>
      <right/>
      <top/>
      <bottom style="thin">
        <color theme="0"/>
      </bottom>
      <diagonal/>
    </border>
    <border>
      <left/>
      <right style="thin">
        <color theme="2"/>
      </right>
      <top/>
      <bottom style="thin">
        <color theme="0"/>
      </bottom>
      <diagonal/>
    </border>
    <border>
      <left/>
      <right/>
      <top style="thin">
        <color theme="0"/>
      </top>
      <bottom/>
      <diagonal/>
    </border>
    <border>
      <left/>
      <right/>
      <top style="medium">
        <color indexed="64"/>
      </top>
      <bottom/>
      <diagonal/>
    </border>
    <border>
      <left style="medium">
        <color indexed="64"/>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right/>
      <top style="medium">
        <color indexed="64"/>
      </top>
      <bottom style="medium">
        <color indexed="64"/>
      </bottom>
      <diagonal/>
    </border>
  </borders>
  <cellStyleXfs count="7">
    <xf numFmtId="0" fontId="0" fillId="0" borderId="0"/>
    <xf numFmtId="9" fontId="3" fillId="0" borderId="0" applyFont="0" applyFill="0" applyBorder="0" applyAlignment="0" applyProtection="0"/>
    <xf numFmtId="43" fontId="3" fillId="0" borderId="0" applyFont="0" applyFill="0" applyBorder="0" applyAlignment="0" applyProtection="0"/>
    <xf numFmtId="0" fontId="3" fillId="0" borderId="0"/>
    <xf numFmtId="0" fontId="9" fillId="0" borderId="0"/>
    <xf numFmtId="164" fontId="9" fillId="0" borderId="0" applyFont="0" applyFill="0" applyBorder="0" applyAlignment="0" applyProtection="0"/>
    <xf numFmtId="43" fontId="3" fillId="0" borderId="0" applyFont="0" applyFill="0" applyBorder="0" applyAlignment="0" applyProtection="0"/>
  </cellStyleXfs>
  <cellXfs count="696">
    <xf numFmtId="0" fontId="0" fillId="0" borderId="0" xfId="0"/>
    <xf numFmtId="0" fontId="0" fillId="0" borderId="0" xfId="0" applyFill="1"/>
    <xf numFmtId="0" fontId="6" fillId="0" borderId="0" xfId="0" applyFont="1"/>
    <xf numFmtId="9" fontId="0" fillId="0" borderId="0" xfId="1" applyFont="1"/>
    <xf numFmtId="0" fontId="0" fillId="16" borderId="1" xfId="0" applyFill="1" applyBorder="1" applyAlignment="1">
      <alignment horizontal="center"/>
    </xf>
    <xf numFmtId="0" fontId="6" fillId="5" borderId="0" xfId="0" applyFont="1" applyFill="1" applyBorder="1"/>
    <xf numFmtId="0" fontId="6" fillId="8" borderId="0" xfId="0" applyFont="1" applyFill="1" applyBorder="1"/>
    <xf numFmtId="0" fontId="6" fillId="9" borderId="0" xfId="0" applyFont="1" applyFill="1" applyBorder="1"/>
    <xf numFmtId="0" fontId="6" fillId="7" borderId="0" xfId="0" applyFont="1" applyFill="1" applyBorder="1"/>
    <xf numFmtId="0" fontId="6" fillId="10" borderId="0" xfId="0" applyFont="1" applyFill="1" applyBorder="1"/>
    <xf numFmtId="0" fontId="6" fillId="17" borderId="0" xfId="0" applyFont="1" applyFill="1" applyBorder="1"/>
    <xf numFmtId="0" fontId="6" fillId="18" borderId="0" xfId="0" applyFont="1" applyFill="1" applyBorder="1"/>
    <xf numFmtId="0" fontId="5" fillId="11" borderId="0" xfId="0" applyFont="1" applyFill="1" applyBorder="1" applyAlignment="1">
      <alignment horizontal="right" vertical="center" wrapText="1"/>
    </xf>
    <xf numFmtId="0" fontId="5" fillId="13" borderId="0" xfId="0" applyFont="1" applyFill="1" applyBorder="1"/>
    <xf numFmtId="0" fontId="0" fillId="0" borderId="0" xfId="0" applyAlignment="1">
      <alignment horizontal="center"/>
    </xf>
    <xf numFmtId="9" fontId="0" fillId="0" borderId="0" xfId="0" applyNumberFormat="1" applyAlignment="1">
      <alignment horizontal="center"/>
    </xf>
    <xf numFmtId="0" fontId="0" fillId="20" borderId="2" xfId="0" applyFill="1" applyBorder="1" applyAlignment="1">
      <alignment horizontal="center"/>
    </xf>
    <xf numFmtId="0" fontId="6" fillId="14" borderId="0" xfId="0" applyFont="1" applyFill="1" applyBorder="1" applyAlignment="1">
      <alignment vertical="center" wrapText="1"/>
    </xf>
    <xf numFmtId="0" fontId="5" fillId="12" borderId="0" xfId="0" applyFont="1" applyFill="1" applyBorder="1" applyAlignment="1">
      <alignment vertical="center" wrapText="1"/>
    </xf>
    <xf numFmtId="0" fontId="6" fillId="0" borderId="0" xfId="0" applyFont="1" applyAlignment="1">
      <alignment horizontal="center"/>
    </xf>
    <xf numFmtId="9" fontId="5" fillId="15" borderId="0" xfId="1" applyFont="1" applyFill="1" applyBorder="1" applyAlignment="1">
      <alignment vertical="center" wrapText="1"/>
    </xf>
    <xf numFmtId="166" fontId="0" fillId="0" borderId="0" xfId="1" applyNumberFormat="1" applyFont="1"/>
    <xf numFmtId="166" fontId="0" fillId="0" borderId="0" xfId="0" applyNumberFormat="1" applyAlignment="1">
      <alignment horizontal="center"/>
    </xf>
    <xf numFmtId="9" fontId="0" fillId="0" borderId="0" xfId="1" applyFont="1" applyAlignment="1">
      <alignment horizontal="center"/>
    </xf>
    <xf numFmtId="0" fontId="5" fillId="4" borderId="0" xfId="0" applyFont="1" applyFill="1" applyAlignment="1">
      <alignment horizontal="center" vertical="center"/>
    </xf>
    <xf numFmtId="0" fontId="6" fillId="3" borderId="0" xfId="0" applyFont="1" applyFill="1" applyAlignment="1">
      <alignment horizontal="center" vertical="center"/>
    </xf>
    <xf numFmtId="0" fontId="6" fillId="24" borderId="0" xfId="0" applyFont="1" applyFill="1" applyAlignment="1">
      <alignment horizontal="center" vertical="center"/>
    </xf>
    <xf numFmtId="0" fontId="10" fillId="23" borderId="0" xfId="0" applyFont="1" applyFill="1" applyAlignment="1"/>
    <xf numFmtId="0" fontId="0" fillId="0" borderId="0" xfId="0" applyFill="1" applyBorder="1"/>
    <xf numFmtId="0" fontId="6" fillId="0" borderId="0" xfId="0" applyFont="1" applyFill="1" applyBorder="1"/>
    <xf numFmtId="0" fontId="0" fillId="16" borderId="8" xfId="0" applyFill="1" applyBorder="1" applyAlignment="1">
      <alignment horizontal="center"/>
    </xf>
    <xf numFmtId="0" fontId="0" fillId="20" borderId="9" xfId="0" applyFill="1" applyBorder="1" applyAlignment="1">
      <alignment horizontal="center"/>
    </xf>
    <xf numFmtId="0" fontId="6" fillId="18" borderId="12" xfId="0" applyFont="1" applyFill="1" applyBorder="1"/>
    <xf numFmtId="9" fontId="6" fillId="0" borderId="0" xfId="1" applyFont="1" applyFill="1" applyBorder="1"/>
    <xf numFmtId="0" fontId="7" fillId="3" borderId="0" xfId="0" applyFont="1" applyFill="1" applyAlignment="1">
      <alignment horizontal="center" vertical="center"/>
    </xf>
    <xf numFmtId="0" fontId="7" fillId="24" borderId="0" xfId="0" applyFont="1" applyFill="1" applyAlignment="1">
      <alignment horizontal="center" vertical="center"/>
    </xf>
    <xf numFmtId="0" fontId="6" fillId="6" borderId="17" xfId="0" applyFont="1" applyFill="1" applyBorder="1"/>
    <xf numFmtId="0" fontId="0" fillId="0" borderId="17" xfId="0" applyFill="1" applyBorder="1"/>
    <xf numFmtId="0" fontId="0" fillId="16" borderId="21" xfId="0" applyFill="1" applyBorder="1" applyAlignment="1">
      <alignment horizontal="center"/>
    </xf>
    <xf numFmtId="0" fontId="0" fillId="16" borderId="22" xfId="0" applyFill="1" applyBorder="1" applyAlignment="1">
      <alignment horizontal="center"/>
    </xf>
    <xf numFmtId="0" fontId="10" fillId="22" borderId="0" xfId="0" applyFont="1" applyFill="1" applyAlignment="1"/>
    <xf numFmtId="0" fontId="10" fillId="26" borderId="0" xfId="0" applyFont="1" applyFill="1" applyAlignment="1"/>
    <xf numFmtId="0" fontId="10" fillId="27" borderId="0" xfId="0" applyFont="1" applyFill="1" applyAlignment="1"/>
    <xf numFmtId="0" fontId="8" fillId="16" borderId="0" xfId="0" applyFont="1" applyFill="1" applyAlignment="1">
      <alignment horizontal="center"/>
    </xf>
    <xf numFmtId="0" fontId="6" fillId="24" borderId="31" xfId="0" applyFont="1" applyFill="1" applyBorder="1" applyAlignment="1">
      <alignment horizontal="center" vertical="center"/>
    </xf>
    <xf numFmtId="0" fontId="7" fillId="24" borderId="31" xfId="0" applyFont="1" applyFill="1" applyBorder="1" applyAlignment="1">
      <alignment horizontal="center" vertical="center"/>
    </xf>
    <xf numFmtId="0" fontId="5" fillId="0" borderId="0" xfId="0" applyFont="1" applyFill="1"/>
    <xf numFmtId="0" fontId="5" fillId="4" borderId="0" xfId="0" applyFont="1" applyFill="1" applyAlignment="1">
      <alignment horizontal="center"/>
    </xf>
    <xf numFmtId="0" fontId="0" fillId="16" borderId="0" xfId="0" applyFill="1" applyAlignment="1">
      <alignment horizontal="center"/>
    </xf>
    <xf numFmtId="0" fontId="8" fillId="16" borderId="0" xfId="0" applyFont="1" applyFill="1" applyBorder="1" applyAlignment="1">
      <alignment horizontal="center"/>
    </xf>
    <xf numFmtId="0" fontId="5" fillId="16" borderId="0" xfId="0" applyFont="1" applyFill="1" applyAlignment="1">
      <alignment horizontal="center"/>
    </xf>
    <xf numFmtId="0" fontId="0" fillId="0" borderId="0" xfId="0" applyFill="1" applyAlignment="1">
      <alignment horizontal="center"/>
    </xf>
    <xf numFmtId="0" fontId="8" fillId="16" borderId="31" xfId="0" applyFont="1" applyFill="1" applyBorder="1" applyAlignment="1">
      <alignment horizontal="center"/>
    </xf>
    <xf numFmtId="0" fontId="8" fillId="16" borderId="0" xfId="0" applyFont="1" applyFill="1" applyBorder="1" applyAlignment="1">
      <alignment horizontal="left"/>
    </xf>
    <xf numFmtId="3" fontId="6" fillId="16" borderId="0" xfId="2" applyNumberFormat="1" applyFont="1" applyFill="1" applyAlignment="1">
      <alignment horizontal="center"/>
    </xf>
    <xf numFmtId="0" fontId="6" fillId="16" borderId="0" xfId="0" applyFont="1" applyFill="1" applyAlignment="1">
      <alignment horizontal="center"/>
    </xf>
    <xf numFmtId="0" fontId="5" fillId="11" borderId="0" xfId="0" applyFont="1" applyFill="1" applyBorder="1" applyAlignment="1"/>
    <xf numFmtId="0" fontId="5" fillId="11" borderId="0" xfId="0" applyFont="1" applyFill="1" applyAlignment="1">
      <alignment horizontal="center"/>
    </xf>
    <xf numFmtId="0" fontId="0" fillId="0" borderId="32" xfId="0" applyFill="1" applyBorder="1"/>
    <xf numFmtId="0" fontId="6" fillId="0" borderId="32" xfId="0" applyFont="1" applyFill="1" applyBorder="1"/>
    <xf numFmtId="9" fontId="6" fillId="0" borderId="32" xfId="1" applyFont="1" applyFill="1" applyBorder="1"/>
    <xf numFmtId="9" fontId="0" fillId="16" borderId="0" xfId="1" applyFont="1" applyFill="1" applyAlignment="1">
      <alignment horizontal="center"/>
    </xf>
    <xf numFmtId="0" fontId="0" fillId="0" borderId="33" xfId="0" applyFill="1" applyBorder="1"/>
    <xf numFmtId="9" fontId="6" fillId="16" borderId="0" xfId="0" applyNumberFormat="1" applyFont="1" applyFill="1" applyAlignment="1">
      <alignment horizontal="center"/>
    </xf>
    <xf numFmtId="10" fontId="0" fillId="16" borderId="0" xfId="1" applyNumberFormat="1" applyFont="1" applyFill="1" applyAlignment="1">
      <alignment horizontal="center"/>
    </xf>
    <xf numFmtId="0" fontId="0" fillId="16" borderId="52" xfId="0" applyFill="1" applyBorder="1" applyAlignment="1">
      <alignment horizontal="center"/>
    </xf>
    <xf numFmtId="0" fontId="0" fillId="20" borderId="53" xfId="0" applyFill="1" applyBorder="1" applyAlignment="1">
      <alignment horizontal="center"/>
    </xf>
    <xf numFmtId="0" fontId="0" fillId="16" borderId="54" xfId="0" applyFill="1" applyBorder="1" applyAlignment="1">
      <alignment horizontal="center"/>
    </xf>
    <xf numFmtId="0" fontId="7" fillId="24" borderId="0" xfId="0" applyFont="1" applyFill="1" applyBorder="1" applyAlignment="1">
      <alignment horizontal="center" vertical="center"/>
    </xf>
    <xf numFmtId="0" fontId="28" fillId="16" borderId="0" xfId="0" applyFont="1" applyFill="1" applyBorder="1" applyProtection="1"/>
    <xf numFmtId="0" fontId="28" fillId="16" borderId="0" xfId="0" applyFont="1" applyFill="1" applyProtection="1"/>
    <xf numFmtId="3" fontId="17" fillId="16" borderId="4" xfId="0" applyNumberFormat="1" applyFont="1" applyFill="1" applyBorder="1" applyAlignment="1" applyProtection="1">
      <alignment horizontal="center" vertical="center" wrapText="1"/>
    </xf>
    <xf numFmtId="0" fontId="28" fillId="3" borderId="4" xfId="0" applyFont="1" applyFill="1" applyBorder="1" applyAlignment="1" applyProtection="1">
      <alignment horizontal="center" vertical="center" wrapText="1"/>
      <protection locked="0"/>
    </xf>
    <xf numFmtId="3" fontId="28" fillId="3" borderId="4" xfId="0" applyNumberFormat="1" applyFont="1" applyFill="1" applyBorder="1" applyAlignment="1" applyProtection="1">
      <alignment horizontal="center" vertical="center" wrapText="1"/>
      <protection locked="0"/>
    </xf>
    <xf numFmtId="0" fontId="11" fillId="16" borderId="0" xfId="0" applyFont="1" applyFill="1" applyProtection="1"/>
    <xf numFmtId="0" fontId="26" fillId="16" borderId="0" xfId="0" applyFont="1" applyFill="1" applyBorder="1" applyAlignment="1" applyProtection="1">
      <alignment horizontal="right" vertical="center"/>
    </xf>
    <xf numFmtId="0" fontId="17" fillId="16" borderId="0" xfId="0" applyFont="1" applyFill="1" applyBorder="1" applyAlignment="1" applyProtection="1">
      <alignment horizontal="left" vertical="center"/>
    </xf>
    <xf numFmtId="0" fontId="18" fillId="16" borderId="0" xfId="0" applyFont="1" applyFill="1" applyBorder="1" applyAlignment="1" applyProtection="1">
      <alignment horizontal="right" vertical="center"/>
    </xf>
    <xf numFmtId="0" fontId="8" fillId="16" borderId="0" xfId="0" applyFont="1" applyFill="1" applyBorder="1" applyAlignment="1"/>
    <xf numFmtId="0" fontId="0" fillId="16" borderId="27" xfId="0" applyFill="1" applyBorder="1" applyAlignment="1" applyProtection="1">
      <alignment horizontal="center"/>
      <protection locked="0"/>
    </xf>
    <xf numFmtId="0" fontId="0" fillId="16" borderId="21" xfId="0" applyFill="1" applyBorder="1" applyAlignment="1" applyProtection="1">
      <alignment horizontal="center"/>
      <protection locked="0"/>
    </xf>
    <xf numFmtId="165" fontId="0" fillId="16" borderId="21" xfId="0" applyNumberFormat="1" applyFill="1" applyBorder="1" applyAlignment="1" applyProtection="1">
      <alignment horizontal="center"/>
      <protection locked="0"/>
    </xf>
    <xf numFmtId="3" fontId="0" fillId="16" borderId="21" xfId="0" applyNumberFormat="1" applyFill="1" applyBorder="1" applyAlignment="1" applyProtection="1">
      <alignment horizontal="center"/>
      <protection locked="0"/>
    </xf>
    <xf numFmtId="0" fontId="0" fillId="16" borderId="25" xfId="0" applyFill="1" applyBorder="1" applyAlignment="1" applyProtection="1">
      <alignment horizontal="center"/>
      <protection locked="0"/>
    </xf>
    <xf numFmtId="0" fontId="0" fillId="16" borderId="23" xfId="0" applyFill="1" applyBorder="1" applyAlignment="1" applyProtection="1">
      <alignment horizontal="center"/>
      <protection locked="0"/>
    </xf>
    <xf numFmtId="2" fontId="0" fillId="16" borderId="24" xfId="0" applyNumberFormat="1" applyFill="1" applyBorder="1" applyAlignment="1" applyProtection="1">
      <alignment horizontal="center"/>
      <protection locked="0"/>
    </xf>
    <xf numFmtId="2" fontId="0" fillId="16" borderId="21" xfId="0" applyNumberFormat="1" applyFill="1" applyBorder="1" applyAlignment="1" applyProtection="1">
      <alignment horizontal="center"/>
      <protection locked="0"/>
    </xf>
    <xf numFmtId="2" fontId="0" fillId="16" borderId="25" xfId="0" applyNumberFormat="1" applyFill="1" applyBorder="1" applyAlignment="1" applyProtection="1">
      <alignment horizontal="center"/>
      <protection locked="0"/>
    </xf>
    <xf numFmtId="2" fontId="6" fillId="16" borderId="26" xfId="0" applyNumberFormat="1" applyFont="1" applyFill="1" applyBorder="1" applyAlignment="1" applyProtection="1">
      <alignment horizontal="center"/>
      <protection locked="0"/>
    </xf>
    <xf numFmtId="167" fontId="6" fillId="16" borderId="27" xfId="1" applyNumberFormat="1" applyFont="1" applyFill="1" applyBorder="1" applyAlignment="1" applyProtection="1">
      <alignment horizontal="center"/>
      <protection locked="0"/>
    </xf>
    <xf numFmtId="167" fontId="6" fillId="16" borderId="21" xfId="1" applyNumberFormat="1" applyFont="1" applyFill="1" applyBorder="1" applyAlignment="1" applyProtection="1">
      <alignment horizontal="center"/>
      <protection locked="0"/>
    </xf>
    <xf numFmtId="166" fontId="6" fillId="16" borderId="25" xfId="0" applyNumberFormat="1" applyFont="1" applyFill="1" applyBorder="1" applyAlignment="1" applyProtection="1">
      <alignment horizontal="center"/>
      <protection locked="0"/>
    </xf>
    <xf numFmtId="0" fontId="0" fillId="20" borderId="11" xfId="0" applyFill="1" applyBorder="1" applyAlignment="1" applyProtection="1">
      <alignment horizontal="center"/>
      <protection locked="0"/>
    </xf>
    <xf numFmtId="0" fontId="0" fillId="20" borderId="2" xfId="0" applyFill="1" applyBorder="1" applyAlignment="1" applyProtection="1">
      <alignment horizontal="center"/>
      <protection locked="0"/>
    </xf>
    <xf numFmtId="165" fontId="0" fillId="20" borderId="2" xfId="0" applyNumberFormat="1" applyFill="1" applyBorder="1" applyAlignment="1" applyProtection="1">
      <alignment horizontal="center"/>
      <protection locked="0"/>
    </xf>
    <xf numFmtId="3" fontId="0" fillId="20" borderId="1" xfId="0" applyNumberFormat="1" applyFill="1" applyBorder="1" applyAlignment="1" applyProtection="1">
      <alignment horizontal="center"/>
      <protection locked="0"/>
    </xf>
    <xf numFmtId="0" fontId="0" fillId="20" borderId="14" xfId="0" applyFill="1" applyBorder="1" applyAlignment="1" applyProtection="1">
      <alignment horizontal="center"/>
      <protection locked="0"/>
    </xf>
    <xf numFmtId="0" fontId="0" fillId="16" borderId="0" xfId="0" applyFill="1" applyBorder="1" applyAlignment="1" applyProtection="1">
      <alignment horizontal="center"/>
      <protection locked="0"/>
    </xf>
    <xf numFmtId="2" fontId="0" fillId="20" borderId="19" xfId="0" applyNumberFormat="1" applyFill="1" applyBorder="1" applyAlignment="1" applyProtection="1">
      <alignment horizontal="center"/>
      <protection locked="0"/>
    </xf>
    <xf numFmtId="2" fontId="0" fillId="20" borderId="2" xfId="0" applyNumberFormat="1" applyFill="1" applyBorder="1" applyAlignment="1" applyProtection="1">
      <alignment horizontal="center"/>
      <protection locked="0"/>
    </xf>
    <xf numFmtId="2" fontId="0" fillId="20" borderId="14" xfId="0" applyNumberFormat="1" applyFill="1" applyBorder="1" applyAlignment="1" applyProtection="1">
      <alignment horizontal="center"/>
      <protection locked="0"/>
    </xf>
    <xf numFmtId="2" fontId="6" fillId="20" borderId="16" xfId="0" applyNumberFormat="1" applyFont="1" applyFill="1" applyBorder="1" applyAlignment="1" applyProtection="1">
      <alignment horizontal="center"/>
      <protection locked="0"/>
    </xf>
    <xf numFmtId="167" fontId="6" fillId="20" borderId="11" xfId="1" applyNumberFormat="1" applyFont="1" applyFill="1" applyBorder="1" applyAlignment="1" applyProtection="1">
      <alignment horizontal="center"/>
      <protection locked="0"/>
    </xf>
    <xf numFmtId="167" fontId="6" fillId="20" borderId="2" xfId="1" applyNumberFormat="1" applyFont="1" applyFill="1" applyBorder="1" applyAlignment="1" applyProtection="1">
      <alignment horizontal="center"/>
      <protection locked="0"/>
    </xf>
    <xf numFmtId="166" fontId="6" fillId="20" borderId="14" xfId="0" applyNumberFormat="1" applyFont="1" applyFill="1" applyBorder="1" applyAlignment="1" applyProtection="1">
      <alignment horizontal="center"/>
      <protection locked="0"/>
    </xf>
    <xf numFmtId="0" fontId="0" fillId="16" borderId="10" xfId="0" applyFill="1" applyBorder="1" applyAlignment="1" applyProtection="1">
      <alignment horizontal="center"/>
      <protection locked="0"/>
    </xf>
    <xf numFmtId="0" fontId="0" fillId="16" borderId="1" xfId="0" applyFill="1" applyBorder="1" applyAlignment="1" applyProtection="1">
      <alignment horizontal="center"/>
      <protection locked="0"/>
    </xf>
    <xf numFmtId="165" fontId="0" fillId="16" borderId="1" xfId="0" applyNumberFormat="1" applyFill="1" applyBorder="1" applyAlignment="1" applyProtection="1">
      <alignment horizontal="center"/>
      <protection locked="0"/>
    </xf>
    <xf numFmtId="3" fontId="0" fillId="16" borderId="1" xfId="0" applyNumberFormat="1" applyFill="1" applyBorder="1" applyAlignment="1" applyProtection="1">
      <alignment horizontal="center"/>
      <protection locked="0"/>
    </xf>
    <xf numFmtId="0" fontId="0" fillId="16" borderId="13" xfId="0" applyFill="1" applyBorder="1" applyAlignment="1" applyProtection="1">
      <alignment horizontal="center"/>
      <protection locked="0"/>
    </xf>
    <xf numFmtId="2" fontId="0" fillId="16" borderId="18" xfId="0" applyNumberFormat="1" applyFill="1" applyBorder="1" applyAlignment="1" applyProtection="1">
      <alignment horizontal="center"/>
      <protection locked="0"/>
    </xf>
    <xf numFmtId="2" fontId="0" fillId="16" borderId="1" xfId="0" applyNumberFormat="1" applyFill="1" applyBorder="1" applyAlignment="1" applyProtection="1">
      <alignment horizontal="center"/>
      <protection locked="0"/>
    </xf>
    <xf numFmtId="2" fontId="0" fillId="16" borderId="13" xfId="0" applyNumberFormat="1" applyFill="1" applyBorder="1" applyAlignment="1" applyProtection="1">
      <alignment horizontal="center"/>
      <protection locked="0"/>
    </xf>
    <xf numFmtId="2" fontId="6" fillId="16" borderId="15" xfId="0" applyNumberFormat="1" applyFont="1" applyFill="1" applyBorder="1" applyAlignment="1" applyProtection="1">
      <alignment horizontal="center"/>
      <protection locked="0"/>
    </xf>
    <xf numFmtId="167" fontId="6" fillId="16" borderId="10" xfId="1" applyNumberFormat="1" applyFont="1" applyFill="1" applyBorder="1" applyAlignment="1" applyProtection="1">
      <alignment horizontal="center"/>
      <protection locked="0"/>
    </xf>
    <xf numFmtId="167" fontId="6" fillId="16" borderId="1" xfId="1" applyNumberFormat="1" applyFont="1" applyFill="1" applyBorder="1" applyAlignment="1" applyProtection="1">
      <alignment horizontal="center"/>
      <protection locked="0"/>
    </xf>
    <xf numFmtId="166" fontId="6" fillId="16" borderId="13" xfId="0" applyNumberFormat="1" applyFont="1" applyFill="1" applyBorder="1" applyAlignment="1" applyProtection="1">
      <alignment horizontal="center"/>
      <protection locked="0"/>
    </xf>
    <xf numFmtId="0" fontId="8" fillId="16" borderId="0" xfId="0" applyFont="1" applyFill="1" applyBorder="1" applyAlignment="1">
      <alignment horizontal="center"/>
    </xf>
    <xf numFmtId="0" fontId="26" fillId="0" borderId="0" xfId="0" applyFont="1" applyAlignment="1">
      <alignment horizontal="left" vertical="center"/>
    </xf>
    <xf numFmtId="0" fontId="47" fillId="0" borderId="3" xfId="0" applyFont="1" applyBorder="1" applyAlignment="1">
      <alignment horizontal="center" vertical="center"/>
    </xf>
    <xf numFmtId="0" fontId="46" fillId="0" borderId="3" xfId="0" applyFont="1" applyBorder="1" applyAlignment="1">
      <alignment vertical="center"/>
    </xf>
    <xf numFmtId="0" fontId="45" fillId="0" borderId="3" xfId="0" applyFont="1" applyBorder="1" applyAlignment="1">
      <alignment vertical="center"/>
    </xf>
    <xf numFmtId="0" fontId="45" fillId="0" borderId="3" xfId="0" applyFont="1" applyBorder="1" applyAlignment="1">
      <alignment horizontal="center" vertical="center"/>
    </xf>
    <xf numFmtId="0" fontId="0" fillId="16" borderId="0" xfId="0" applyFill="1"/>
    <xf numFmtId="0" fontId="0" fillId="0" borderId="0" xfId="0" applyAlignment="1">
      <alignment horizontal="center" vertical="center"/>
    </xf>
    <xf numFmtId="2" fontId="0" fillId="16" borderId="101" xfId="0" applyNumberFormat="1" applyFill="1" applyBorder="1" applyAlignment="1">
      <alignment horizontal="center" vertical="center" wrapText="1"/>
    </xf>
    <xf numFmtId="2" fontId="0" fillId="16" borderId="102" xfId="0" applyNumberFormat="1" applyFill="1" applyBorder="1" applyAlignment="1">
      <alignment horizontal="center" vertical="center" wrapText="1"/>
    </xf>
    <xf numFmtId="0" fontId="48" fillId="16" borderId="0" xfId="0" applyFont="1" applyFill="1"/>
    <xf numFmtId="0" fontId="0" fillId="16" borderId="0" xfId="0" applyFill="1" applyAlignment="1">
      <alignment wrapText="1"/>
    </xf>
    <xf numFmtId="0" fontId="19" fillId="0" borderId="3" xfId="0" applyFont="1" applyBorder="1" applyAlignment="1">
      <alignment horizontal="center" vertical="center"/>
    </xf>
    <xf numFmtId="0" fontId="51" fillId="0" borderId="3" xfId="0" applyFont="1" applyBorder="1" applyAlignment="1">
      <alignment horizontal="center" vertical="center"/>
    </xf>
    <xf numFmtId="9" fontId="0" fillId="0" borderId="0" xfId="1" applyFont="1" applyAlignment="1">
      <alignment horizontal="center" vertical="center"/>
    </xf>
    <xf numFmtId="0" fontId="19" fillId="0" borderId="104" xfId="0" applyFont="1" applyFill="1" applyBorder="1" applyAlignment="1">
      <alignment horizontal="center" vertical="center"/>
    </xf>
    <xf numFmtId="9" fontId="0" fillId="0" borderId="0" xfId="0" applyNumberFormat="1" applyAlignment="1">
      <alignment horizontal="center" vertical="center"/>
    </xf>
    <xf numFmtId="0" fontId="51" fillId="0" borderId="104" xfId="0" applyFont="1" applyFill="1" applyBorder="1" applyAlignment="1">
      <alignment horizontal="center" vertical="center"/>
    </xf>
    <xf numFmtId="9" fontId="0" fillId="7" borderId="0" xfId="1" applyFont="1" applyFill="1" applyAlignment="1">
      <alignment horizontal="center" vertical="center"/>
    </xf>
    <xf numFmtId="0" fontId="0" fillId="0" borderId="3" xfId="0" applyBorder="1" applyAlignment="1">
      <alignment horizontal="center" vertical="center"/>
    </xf>
    <xf numFmtId="0" fontId="6" fillId="0" borderId="3" xfId="0" applyFont="1" applyBorder="1" applyAlignment="1">
      <alignment horizontal="center" vertical="center"/>
    </xf>
    <xf numFmtId="9" fontId="0" fillId="0" borderId="3" xfId="1" applyFont="1" applyBorder="1" applyAlignment="1">
      <alignment horizontal="center" vertical="center"/>
    </xf>
    <xf numFmtId="0" fontId="19" fillId="0" borderId="3" xfId="0" applyFont="1" applyFill="1" applyBorder="1" applyAlignment="1">
      <alignment horizontal="center" vertical="center"/>
    </xf>
    <xf numFmtId="0" fontId="59" fillId="16" borderId="0" xfId="0" applyFont="1" applyFill="1" applyProtection="1"/>
    <xf numFmtId="0" fontId="61" fillId="16" borderId="0" xfId="0" applyFont="1" applyFill="1" applyBorder="1" applyAlignment="1" applyProtection="1">
      <alignment horizontal="center" vertical="center" wrapText="1"/>
    </xf>
    <xf numFmtId="0" fontId="0" fillId="31" borderId="0" xfId="0" applyFill="1"/>
    <xf numFmtId="9" fontId="0" fillId="31" borderId="0" xfId="1" applyFont="1" applyFill="1"/>
    <xf numFmtId="0" fontId="51" fillId="31" borderId="104" xfId="0" applyFont="1" applyFill="1" applyBorder="1" applyAlignment="1">
      <alignment horizontal="center" vertical="center"/>
    </xf>
    <xf numFmtId="9" fontId="0" fillId="31" borderId="0" xfId="1" applyFont="1" applyFill="1" applyAlignment="1">
      <alignment horizontal="center" vertical="center"/>
    </xf>
    <xf numFmtId="9" fontId="51" fillId="0" borderId="3" xfId="0" applyNumberFormat="1" applyFont="1" applyBorder="1" applyAlignment="1">
      <alignment horizontal="center" vertical="center"/>
    </xf>
    <xf numFmtId="0" fontId="0" fillId="0" borderId="0" xfId="0" applyAlignment="1">
      <alignment horizontal="right" vertical="center"/>
    </xf>
    <xf numFmtId="0" fontId="0" fillId="16" borderId="101" xfId="0" applyFill="1" applyBorder="1" applyAlignment="1">
      <alignment vertical="center" wrapText="1"/>
    </xf>
    <xf numFmtId="0" fontId="0" fillId="16" borderId="102" xfId="0" applyFill="1" applyBorder="1" applyAlignment="1">
      <alignment vertical="center" wrapText="1"/>
    </xf>
    <xf numFmtId="0" fontId="0" fillId="30" borderId="101" xfId="0" applyFill="1" applyBorder="1" applyAlignment="1">
      <alignment vertical="center" wrapText="1"/>
    </xf>
    <xf numFmtId="0" fontId="0" fillId="30" borderId="102" xfId="0" applyFill="1" applyBorder="1" applyAlignment="1">
      <alignment vertical="center" wrapText="1"/>
    </xf>
    <xf numFmtId="0" fontId="0" fillId="30" borderId="101" xfId="0" applyFill="1" applyBorder="1" applyAlignment="1">
      <alignment horizontal="left" vertical="center"/>
    </xf>
    <xf numFmtId="0" fontId="0" fillId="30" borderId="102" xfId="0" applyFill="1" applyBorder="1" applyAlignment="1">
      <alignment horizontal="left" vertical="center"/>
    </xf>
    <xf numFmtId="0" fontId="0" fillId="16" borderId="101" xfId="0" applyFill="1" applyBorder="1" applyAlignment="1">
      <alignment horizontal="left" vertical="center"/>
    </xf>
    <xf numFmtId="0" fontId="0" fillId="16" borderId="102" xfId="0" applyFill="1" applyBorder="1" applyAlignment="1">
      <alignment horizontal="left" vertical="center"/>
    </xf>
    <xf numFmtId="0" fontId="0" fillId="0" borderId="0" xfId="0"/>
    <xf numFmtId="9" fontId="0" fillId="0" borderId="0" xfId="1" applyFont="1"/>
    <xf numFmtId="166" fontId="0" fillId="0" borderId="0" xfId="1" applyNumberFormat="1" applyFont="1"/>
    <xf numFmtId="2" fontId="0" fillId="20" borderId="19" xfId="0" applyNumberFormat="1" applyFill="1" applyBorder="1" applyAlignment="1" applyProtection="1">
      <alignment horizontal="center"/>
      <protection locked="0"/>
    </xf>
    <xf numFmtId="2" fontId="0" fillId="20" borderId="2" xfId="0" applyNumberFormat="1" applyFill="1" applyBorder="1" applyAlignment="1" applyProtection="1">
      <alignment horizontal="center"/>
      <protection locked="0"/>
    </xf>
    <xf numFmtId="2" fontId="0" fillId="20" borderId="14" xfId="0" applyNumberFormat="1" applyFill="1" applyBorder="1" applyAlignment="1" applyProtection="1">
      <alignment horizontal="center"/>
      <protection locked="0"/>
    </xf>
    <xf numFmtId="0" fontId="0" fillId="16" borderId="1" xfId="0" applyFill="1" applyBorder="1" applyAlignment="1" applyProtection="1">
      <alignment horizontal="center"/>
      <protection locked="0"/>
    </xf>
    <xf numFmtId="0" fontId="66" fillId="16" borderId="0" xfId="0" applyFont="1" applyFill="1" applyBorder="1" applyAlignment="1" applyProtection="1">
      <alignment horizontal="center" vertical="center" wrapText="1"/>
    </xf>
    <xf numFmtId="0" fontId="66" fillId="16" borderId="0" xfId="0" applyFont="1" applyFill="1" applyBorder="1" applyAlignment="1" applyProtection="1">
      <alignment vertical="center" wrapText="1"/>
    </xf>
    <xf numFmtId="0" fontId="67" fillId="0" borderId="0" xfId="0" applyFont="1"/>
    <xf numFmtId="0" fontId="61" fillId="16" borderId="0" xfId="0" applyFont="1" applyFill="1" applyBorder="1" applyAlignment="1" applyProtection="1">
      <alignment vertical="center" wrapText="1"/>
    </xf>
    <xf numFmtId="0" fontId="67" fillId="16" borderId="0" xfId="0" applyFont="1" applyFill="1"/>
    <xf numFmtId="0" fontId="46" fillId="0" borderId="113" xfId="0" applyFont="1" applyBorder="1" applyAlignment="1">
      <alignment vertical="center"/>
    </xf>
    <xf numFmtId="0" fontId="45" fillId="0" borderId="113" xfId="0" applyFont="1" applyBorder="1" applyAlignment="1">
      <alignment vertical="center"/>
    </xf>
    <xf numFmtId="0" fontId="45" fillId="0" borderId="113" xfId="0" applyFont="1" applyBorder="1" applyAlignment="1">
      <alignment horizontal="center" vertical="center"/>
    </xf>
    <xf numFmtId="0" fontId="0" fillId="0" borderId="3" xfId="0" applyBorder="1"/>
    <xf numFmtId="2" fontId="45" fillId="0" borderId="3" xfId="0" applyNumberFormat="1" applyFont="1" applyBorder="1" applyAlignment="1">
      <alignment horizontal="center" vertical="center"/>
    </xf>
    <xf numFmtId="0" fontId="28" fillId="16" borderId="89" xfId="0" applyFont="1" applyFill="1" applyBorder="1" applyAlignment="1" applyProtection="1">
      <alignment horizontal="center" wrapText="1"/>
      <protection hidden="1"/>
    </xf>
    <xf numFmtId="167" fontId="28" fillId="16" borderId="89" xfId="1" applyNumberFormat="1" applyFont="1" applyFill="1" applyBorder="1" applyAlignment="1" applyProtection="1">
      <alignment horizontal="center" wrapText="1"/>
      <protection hidden="1"/>
    </xf>
    <xf numFmtId="3" fontId="28" fillId="16" borderId="89" xfId="0" applyNumberFormat="1" applyFont="1" applyFill="1" applyBorder="1" applyAlignment="1" applyProtection="1">
      <alignment horizontal="center" wrapText="1"/>
      <protection hidden="1"/>
    </xf>
    <xf numFmtId="3" fontId="28" fillId="16" borderId="92" xfId="0" applyNumberFormat="1" applyFont="1" applyFill="1" applyBorder="1" applyAlignment="1" applyProtection="1">
      <alignment horizontal="center" wrapText="1"/>
      <protection hidden="1"/>
    </xf>
    <xf numFmtId="9" fontId="32" fillId="25" borderId="76" xfId="1" applyFont="1" applyFill="1" applyBorder="1" applyAlignment="1" applyProtection="1">
      <alignment horizontal="center"/>
      <protection hidden="1"/>
    </xf>
    <xf numFmtId="3" fontId="31" fillId="33" borderId="35" xfId="0" applyNumberFormat="1" applyFont="1" applyFill="1" applyBorder="1" applyAlignment="1" applyProtection="1">
      <alignment horizontal="center" vertical="center" wrapText="1"/>
      <protection hidden="1"/>
    </xf>
    <xf numFmtId="3" fontId="31" fillId="7" borderId="35" xfId="0" applyNumberFormat="1" applyFont="1" applyFill="1" applyBorder="1" applyAlignment="1" applyProtection="1">
      <alignment horizontal="center" vertical="center" wrapText="1"/>
      <protection hidden="1"/>
    </xf>
    <xf numFmtId="3" fontId="31" fillId="21" borderId="35" xfId="0" applyNumberFormat="1" applyFont="1" applyFill="1" applyBorder="1" applyAlignment="1" applyProtection="1">
      <alignment horizontal="center" vertical="center" wrapText="1"/>
      <protection hidden="1"/>
    </xf>
    <xf numFmtId="0" fontId="26" fillId="16" borderId="89" xfId="0" applyFont="1" applyFill="1" applyBorder="1" applyAlignment="1" applyProtection="1">
      <alignment horizontal="center" wrapText="1"/>
      <protection hidden="1"/>
    </xf>
    <xf numFmtId="0" fontId="15" fillId="16" borderId="0" xfId="0" applyFont="1" applyFill="1" applyProtection="1">
      <protection hidden="1"/>
    </xf>
    <xf numFmtId="0" fontId="16" fillId="16" borderId="0" xfId="0" applyFont="1" applyFill="1" applyBorder="1" applyAlignment="1" applyProtection="1">
      <alignment horizontal="center" vertical="center" wrapText="1"/>
      <protection hidden="1"/>
    </xf>
    <xf numFmtId="0" fontId="15" fillId="0" borderId="0" xfId="0" applyFont="1" applyFill="1" applyProtection="1">
      <protection hidden="1"/>
    </xf>
    <xf numFmtId="0" fontId="28" fillId="16" borderId="0" xfId="0" applyFont="1" applyFill="1" applyProtection="1">
      <protection hidden="1"/>
    </xf>
    <xf numFmtId="0" fontId="25" fillId="16" borderId="0" xfId="0" applyFont="1" applyFill="1" applyBorder="1" applyAlignment="1" applyProtection="1">
      <alignment vertical="center" wrapText="1"/>
      <protection hidden="1"/>
    </xf>
    <xf numFmtId="0" fontId="28" fillId="0" borderId="0" xfId="0" applyFont="1" applyFill="1" applyProtection="1">
      <protection hidden="1"/>
    </xf>
    <xf numFmtId="0" fontId="16" fillId="16" borderId="0" xfId="0" applyFont="1" applyFill="1" applyBorder="1" applyAlignment="1" applyProtection="1">
      <alignment vertical="center" wrapText="1"/>
      <protection hidden="1"/>
    </xf>
    <xf numFmtId="0" fontId="31" fillId="33" borderId="35" xfId="0" applyFont="1" applyFill="1" applyBorder="1" applyAlignment="1" applyProtection="1">
      <alignment horizontal="center" vertical="center" wrapText="1"/>
      <protection hidden="1"/>
    </xf>
    <xf numFmtId="0" fontId="31" fillId="7" borderId="35" xfId="0" applyFont="1" applyFill="1" applyBorder="1" applyAlignment="1" applyProtection="1">
      <alignment horizontal="center" vertical="center" wrapText="1"/>
      <protection hidden="1"/>
    </xf>
    <xf numFmtId="0" fontId="31" fillId="21" borderId="35" xfId="0" applyFont="1" applyFill="1" applyBorder="1" applyAlignment="1" applyProtection="1">
      <alignment horizontal="center" vertical="center" wrapText="1"/>
      <protection hidden="1"/>
    </xf>
    <xf numFmtId="0" fontId="26" fillId="16" borderId="0" xfId="0" applyFont="1" applyFill="1" applyBorder="1" applyAlignment="1" applyProtection="1">
      <alignment horizontal="center" vertical="center" wrapText="1"/>
      <protection hidden="1"/>
    </xf>
    <xf numFmtId="0" fontId="26" fillId="0" borderId="0" xfId="0" applyFont="1" applyFill="1" applyBorder="1" applyAlignment="1" applyProtection="1">
      <alignment horizontal="center" vertical="center" wrapText="1"/>
      <protection hidden="1"/>
    </xf>
    <xf numFmtId="0" fontId="28" fillId="16" borderId="0" xfId="0" applyFont="1" applyFill="1" applyAlignment="1" applyProtection="1">
      <alignment horizontal="center"/>
      <protection hidden="1"/>
    </xf>
    <xf numFmtId="0" fontId="17" fillId="16" borderId="90" xfId="0" applyFont="1" applyFill="1" applyBorder="1" applyAlignment="1" applyProtection="1">
      <alignment horizontal="center" vertical="center" wrapText="1"/>
      <protection hidden="1"/>
    </xf>
    <xf numFmtId="0" fontId="17" fillId="16" borderId="91" xfId="0" applyFont="1" applyFill="1" applyBorder="1" applyAlignment="1" applyProtection="1">
      <alignment horizontal="center" vertical="center" wrapText="1"/>
      <protection hidden="1"/>
    </xf>
    <xf numFmtId="0" fontId="31" fillId="33" borderId="5" xfId="0" applyFont="1" applyFill="1" applyBorder="1" applyAlignment="1" applyProtection="1">
      <alignment horizontal="center" vertical="center" wrapText="1"/>
      <protection hidden="1"/>
    </xf>
    <xf numFmtId="0" fontId="31" fillId="7" borderId="5" xfId="0" applyFont="1" applyFill="1" applyBorder="1" applyAlignment="1" applyProtection="1">
      <alignment horizontal="center" vertical="center" wrapText="1"/>
      <protection hidden="1"/>
    </xf>
    <xf numFmtId="0" fontId="31" fillId="21" borderId="5" xfId="0" applyFont="1" applyFill="1" applyBorder="1" applyAlignment="1" applyProtection="1">
      <alignment horizontal="center" vertical="center" wrapText="1"/>
      <protection hidden="1"/>
    </xf>
    <xf numFmtId="0" fontId="28" fillId="0" borderId="0" xfId="0" applyFont="1" applyFill="1" applyAlignment="1" applyProtection="1">
      <alignment horizontal="center"/>
      <protection hidden="1"/>
    </xf>
    <xf numFmtId="0" fontId="28" fillId="0" borderId="3" xfId="0" applyFont="1" applyFill="1" applyBorder="1" applyAlignment="1" applyProtection="1">
      <alignment horizontal="center"/>
      <protection hidden="1"/>
    </xf>
    <xf numFmtId="0" fontId="26" fillId="16" borderId="0" xfId="0" applyFont="1" applyFill="1" applyBorder="1" applyAlignment="1" applyProtection="1">
      <alignment horizontal="right"/>
      <protection hidden="1"/>
    </xf>
    <xf numFmtId="0" fontId="59" fillId="16" borderId="0" xfId="0" applyFont="1" applyFill="1" applyAlignment="1" applyProtection="1">
      <alignment horizontal="center"/>
      <protection hidden="1"/>
    </xf>
    <xf numFmtId="0" fontId="60" fillId="16" borderId="0" xfId="0" applyFont="1" applyFill="1" applyBorder="1" applyAlignment="1" applyProtection="1">
      <alignment horizontal="right"/>
      <protection hidden="1"/>
    </xf>
    <xf numFmtId="0" fontId="68" fillId="16" borderId="0" xfId="0" applyFont="1" applyFill="1" applyBorder="1" applyAlignment="1" applyProtection="1">
      <alignment horizontal="center"/>
      <protection hidden="1"/>
    </xf>
    <xf numFmtId="9" fontId="68" fillId="16" borderId="0" xfId="1" applyFont="1" applyFill="1" applyBorder="1" applyAlignment="1" applyProtection="1">
      <alignment horizontal="center"/>
      <protection hidden="1"/>
    </xf>
    <xf numFmtId="3" fontId="69" fillId="16" borderId="0" xfId="0" applyNumberFormat="1" applyFont="1" applyFill="1" applyBorder="1" applyAlignment="1" applyProtection="1">
      <alignment horizontal="center" vertical="center" wrapText="1"/>
      <protection hidden="1"/>
    </xf>
    <xf numFmtId="0" fontId="17" fillId="16" borderId="0" xfId="0" applyFont="1" applyFill="1" applyProtection="1">
      <protection hidden="1"/>
    </xf>
    <xf numFmtId="0" fontId="65" fillId="16" borderId="0" xfId="0" applyFont="1" applyFill="1" applyProtection="1">
      <protection hidden="1"/>
    </xf>
    <xf numFmtId="0" fontId="0" fillId="16" borderId="0" xfId="0" applyFill="1" applyProtection="1">
      <protection hidden="1"/>
    </xf>
    <xf numFmtId="0" fontId="17" fillId="16" borderId="0" xfId="0" applyFont="1" applyFill="1" applyAlignment="1" applyProtection="1">
      <alignment vertical="center"/>
      <protection hidden="1"/>
    </xf>
    <xf numFmtId="0" fontId="64" fillId="30" borderId="0" xfId="0" applyFont="1" applyFill="1" applyProtection="1">
      <protection hidden="1"/>
    </xf>
    <xf numFmtId="0" fontId="64" fillId="30" borderId="0" xfId="0" applyFont="1" applyFill="1" applyAlignment="1" applyProtection="1">
      <alignment horizontal="left" indent="1"/>
      <protection hidden="1"/>
    </xf>
    <xf numFmtId="0" fontId="28" fillId="0" borderId="0" xfId="0" applyFont="1" applyFill="1" applyAlignment="1" applyProtection="1">
      <alignment horizontal="right"/>
      <protection hidden="1"/>
    </xf>
    <xf numFmtId="0" fontId="14" fillId="16" borderId="0" xfId="0" applyFont="1" applyFill="1" applyBorder="1" applyAlignment="1" applyProtection="1">
      <alignment horizontal="center" vertical="center" wrapText="1"/>
      <protection hidden="1"/>
    </xf>
    <xf numFmtId="0" fontId="14" fillId="16" borderId="0" xfId="0" applyFont="1" applyFill="1" applyBorder="1" applyAlignment="1" applyProtection="1">
      <alignment vertical="center" wrapText="1"/>
      <protection hidden="1"/>
    </xf>
    <xf numFmtId="0" fontId="25" fillId="16" borderId="0" xfId="0" applyFont="1" applyFill="1" applyBorder="1" applyAlignment="1" applyProtection="1">
      <alignment horizontal="center" vertical="center" wrapText="1"/>
      <protection hidden="1"/>
    </xf>
    <xf numFmtId="0" fontId="28" fillId="16" borderId="0" xfId="0" applyFont="1" applyFill="1" applyAlignment="1" applyProtection="1">
      <alignment horizontal="center" vertical="center"/>
      <protection hidden="1"/>
    </xf>
    <xf numFmtId="0" fontId="11" fillId="0" borderId="0" xfId="0" applyFont="1" applyFill="1" applyProtection="1">
      <protection hidden="1"/>
    </xf>
    <xf numFmtId="0" fontId="32" fillId="2" borderId="5" xfId="0" applyFont="1" applyFill="1" applyBorder="1" applyAlignment="1" applyProtection="1">
      <alignment horizontal="center" vertical="center" wrapText="1"/>
      <protection hidden="1"/>
    </xf>
    <xf numFmtId="0" fontId="32" fillId="22" borderId="5" xfId="0" applyFont="1" applyFill="1" applyBorder="1" applyAlignment="1" applyProtection="1">
      <alignment horizontal="center" vertical="center" wrapText="1"/>
      <protection hidden="1"/>
    </xf>
    <xf numFmtId="0" fontId="26" fillId="0" borderId="37" xfId="0" applyFont="1" applyFill="1" applyBorder="1" applyAlignment="1" applyProtection="1">
      <alignment horizontal="center" vertical="center"/>
      <protection hidden="1"/>
    </xf>
    <xf numFmtId="0" fontId="26" fillId="0" borderId="42" xfId="0" applyFont="1" applyFill="1" applyBorder="1" applyAlignment="1" applyProtection="1">
      <alignment horizontal="center" vertical="center" wrapText="1"/>
      <protection hidden="1"/>
    </xf>
    <xf numFmtId="0" fontId="26" fillId="0" borderId="0" xfId="0" applyFont="1" applyFill="1" applyBorder="1" applyAlignment="1" applyProtection="1">
      <alignment horizontal="center" vertical="center"/>
      <protection hidden="1"/>
    </xf>
    <xf numFmtId="0" fontId="28" fillId="3" borderId="5" xfId="0" applyFont="1" applyFill="1" applyBorder="1" applyAlignment="1" applyProtection="1">
      <alignment horizontal="center"/>
      <protection locked="0" hidden="1"/>
    </xf>
    <xf numFmtId="0" fontId="26" fillId="16" borderId="40" xfId="0" applyFont="1" applyFill="1" applyBorder="1" applyAlignment="1" applyProtection="1">
      <alignment horizontal="center" vertical="center"/>
      <protection hidden="1"/>
    </xf>
    <xf numFmtId="0" fontId="26" fillId="16" borderId="43" xfId="0" applyFont="1" applyFill="1" applyBorder="1" applyAlignment="1" applyProtection="1">
      <alignment horizontal="center" vertical="center"/>
      <protection hidden="1"/>
    </xf>
    <xf numFmtId="0" fontId="28" fillId="0" borderId="3" xfId="0" applyFont="1" applyFill="1" applyBorder="1" applyAlignment="1" applyProtection="1">
      <alignment horizontal="center" vertical="center"/>
      <protection hidden="1"/>
    </xf>
    <xf numFmtId="168" fontId="28" fillId="0" borderId="3" xfId="0" applyNumberFormat="1" applyFont="1" applyFill="1" applyBorder="1" applyAlignment="1" applyProtection="1">
      <alignment horizontal="center" vertical="center"/>
      <protection hidden="1"/>
    </xf>
    <xf numFmtId="168" fontId="28" fillId="0" borderId="41" xfId="0" applyNumberFormat="1" applyFont="1" applyFill="1" applyBorder="1" applyAlignment="1" applyProtection="1">
      <alignment horizontal="center" vertical="center"/>
      <protection hidden="1"/>
    </xf>
    <xf numFmtId="0" fontId="28" fillId="3" borderId="5" xfId="0" applyFont="1" applyFill="1" applyBorder="1" applyAlignment="1" applyProtection="1">
      <alignment horizontal="center" vertical="center"/>
      <protection locked="0" hidden="1"/>
    </xf>
    <xf numFmtId="168" fontId="32" fillId="22" borderId="5" xfId="2" applyNumberFormat="1" applyFont="1" applyFill="1" applyBorder="1" applyAlignment="1" applyProtection="1">
      <alignment horizontal="center" vertical="center" wrapText="1"/>
      <protection hidden="1"/>
    </xf>
    <xf numFmtId="168" fontId="26" fillId="0" borderId="0" xfId="0" applyNumberFormat="1" applyFont="1" applyFill="1" applyBorder="1" applyAlignment="1" applyProtection="1">
      <alignment horizontal="center" vertical="center"/>
      <protection hidden="1"/>
    </xf>
    <xf numFmtId="0" fontId="26" fillId="0" borderId="0" xfId="0" applyFont="1" applyFill="1" applyBorder="1" applyAlignment="1" applyProtection="1">
      <alignment horizontal="right" vertical="center"/>
      <protection hidden="1"/>
    </xf>
    <xf numFmtId="0" fontId="11" fillId="16" borderId="0" xfId="0" applyFont="1" applyFill="1" applyProtection="1">
      <protection hidden="1"/>
    </xf>
    <xf numFmtId="0" fontId="11" fillId="0" borderId="0" xfId="0" applyFont="1" applyFill="1" applyAlignment="1" applyProtection="1">
      <alignment horizontal="right"/>
      <protection hidden="1"/>
    </xf>
    <xf numFmtId="0" fontId="11" fillId="16" borderId="0" xfId="0" applyFont="1" applyFill="1" applyBorder="1" applyAlignment="1" applyProtection="1">
      <alignment horizontal="left" vertical="top" indent="1"/>
      <protection hidden="1"/>
    </xf>
    <xf numFmtId="0" fontId="40" fillId="16" borderId="0" xfId="0" applyFont="1" applyFill="1" applyAlignment="1" applyProtection="1">
      <alignment horizontal="right" vertical="center"/>
      <protection hidden="1"/>
    </xf>
    <xf numFmtId="0" fontId="40" fillId="16" borderId="0" xfId="0" applyFont="1" applyFill="1" applyAlignment="1" applyProtection="1">
      <protection hidden="1"/>
    </xf>
    <xf numFmtId="0" fontId="37" fillId="16" borderId="0" xfId="0" applyFont="1" applyFill="1" applyAlignment="1" applyProtection="1">
      <protection hidden="1"/>
    </xf>
    <xf numFmtId="0" fontId="23" fillId="16" borderId="0" xfId="0" applyFont="1" applyFill="1" applyBorder="1" applyAlignment="1" applyProtection="1">
      <alignment horizontal="center" vertical="center" wrapText="1"/>
      <protection hidden="1"/>
    </xf>
    <xf numFmtId="0" fontId="32" fillId="4" borderId="5" xfId="0" applyFont="1" applyFill="1" applyBorder="1" applyAlignment="1" applyProtection="1">
      <alignment horizontal="center" vertical="center" wrapText="1"/>
      <protection hidden="1"/>
    </xf>
    <xf numFmtId="0" fontId="26" fillId="0" borderId="38" xfId="0" applyFont="1" applyFill="1" applyBorder="1" applyAlignment="1" applyProtection="1">
      <alignment horizontal="center" vertical="center" wrapText="1"/>
      <protection hidden="1"/>
    </xf>
    <xf numFmtId="0" fontId="26" fillId="0" borderId="37" xfId="0" applyFont="1" applyFill="1" applyBorder="1" applyAlignment="1" applyProtection="1">
      <alignment horizontal="center" vertical="center" wrapText="1"/>
      <protection hidden="1"/>
    </xf>
    <xf numFmtId="0" fontId="28" fillId="32" borderId="5" xfId="0" applyFont="1" applyFill="1" applyBorder="1" applyAlignment="1" applyProtection="1">
      <alignment horizontal="center" wrapText="1"/>
      <protection hidden="1"/>
    </xf>
    <xf numFmtId="0" fontId="28" fillId="31" borderId="35" xfId="0" applyFont="1" applyFill="1" applyBorder="1" applyAlignment="1" applyProtection="1">
      <alignment horizontal="center" wrapText="1"/>
      <protection hidden="1"/>
    </xf>
    <xf numFmtId="0" fontId="28" fillId="0" borderId="0" xfId="0" applyNumberFormat="1" applyFont="1" applyFill="1" applyAlignment="1" applyProtection="1">
      <alignment horizontal="right" vertical="center"/>
      <protection hidden="1"/>
    </xf>
    <xf numFmtId="3" fontId="26" fillId="0" borderId="0" xfId="0" applyNumberFormat="1" applyFont="1" applyFill="1" applyAlignment="1" applyProtection="1">
      <alignment horizontal="center" vertical="center"/>
      <protection hidden="1"/>
    </xf>
    <xf numFmtId="0" fontId="41" fillId="16" borderId="0" xfId="0" applyFont="1" applyFill="1" applyAlignment="1" applyProtection="1">
      <alignment horizontal="left"/>
      <protection hidden="1"/>
    </xf>
    <xf numFmtId="0" fontId="26" fillId="16" borderId="0" xfId="0" applyFont="1" applyFill="1" applyBorder="1" applyAlignment="1" applyProtection="1">
      <alignment horizontal="center" vertical="center"/>
      <protection hidden="1"/>
    </xf>
    <xf numFmtId="0" fontId="28" fillId="32" borderId="5" xfId="0" applyFont="1" applyFill="1" applyBorder="1" applyAlignment="1" applyProtection="1">
      <alignment horizontal="center"/>
      <protection hidden="1"/>
    </xf>
    <xf numFmtId="0" fontId="30" fillId="16" borderId="0" xfId="0" applyFont="1" applyFill="1" applyBorder="1" applyAlignment="1" applyProtection="1">
      <alignment vertical="top" wrapText="1"/>
      <protection hidden="1"/>
    </xf>
    <xf numFmtId="0" fontId="23" fillId="16" borderId="0" xfId="0" applyFont="1" applyFill="1" applyAlignment="1" applyProtection="1">
      <alignment horizontal="right"/>
      <protection hidden="1"/>
    </xf>
    <xf numFmtId="168" fontId="39" fillId="16" borderId="0" xfId="0" applyNumberFormat="1" applyFont="1" applyFill="1" applyAlignment="1" applyProtection="1">
      <alignment horizontal="center"/>
      <protection hidden="1"/>
    </xf>
    <xf numFmtId="168" fontId="31" fillId="16" borderId="0" xfId="0" applyNumberFormat="1" applyFont="1" applyFill="1" applyAlignment="1" applyProtection="1">
      <alignment horizontal="center"/>
      <protection hidden="1"/>
    </xf>
    <xf numFmtId="0" fontId="26" fillId="0" borderId="0" xfId="0" applyFont="1" applyFill="1" applyProtection="1">
      <protection hidden="1"/>
    </xf>
    <xf numFmtId="0" fontId="23" fillId="16" borderId="78" xfId="0" applyFont="1" applyFill="1" applyBorder="1" applyAlignment="1" applyProtection="1">
      <alignment horizontal="center" vertical="center"/>
      <protection hidden="1"/>
    </xf>
    <xf numFmtId="0" fontId="23" fillId="16" borderId="83" xfId="0" applyFont="1" applyFill="1" applyBorder="1" applyAlignment="1" applyProtection="1">
      <alignment horizontal="center" vertical="center" wrapText="1"/>
      <protection hidden="1"/>
    </xf>
    <xf numFmtId="0" fontId="23" fillId="0" borderId="109" xfId="0" applyFont="1" applyFill="1" applyBorder="1" applyAlignment="1" applyProtection="1">
      <alignment horizontal="center" vertical="center"/>
      <protection hidden="1"/>
    </xf>
    <xf numFmtId="3" fontId="26" fillId="0" borderId="0" xfId="0" applyNumberFormat="1" applyFont="1" applyFill="1" applyProtection="1">
      <protection hidden="1"/>
    </xf>
    <xf numFmtId="0" fontId="26" fillId="16" borderId="45" xfId="0" applyFont="1" applyFill="1" applyBorder="1" applyAlignment="1" applyProtection="1">
      <alignment horizontal="center" vertical="center"/>
      <protection hidden="1"/>
    </xf>
    <xf numFmtId="0" fontId="28" fillId="16" borderId="46" xfId="0" applyFont="1" applyFill="1" applyBorder="1" applyAlignment="1" applyProtection="1">
      <alignment horizontal="center" vertical="center"/>
      <protection hidden="1"/>
    </xf>
    <xf numFmtId="0" fontId="26" fillId="16" borderId="111" xfId="0" applyFont="1" applyFill="1" applyBorder="1" applyAlignment="1" applyProtection="1">
      <alignment horizontal="center" vertical="center"/>
      <protection hidden="1"/>
    </xf>
    <xf numFmtId="0" fontId="26" fillId="16" borderId="47" xfId="0" applyFont="1" applyFill="1" applyBorder="1" applyAlignment="1" applyProtection="1">
      <alignment horizontal="center" vertical="center"/>
      <protection hidden="1"/>
    </xf>
    <xf numFmtId="0" fontId="28" fillId="16" borderId="44" xfId="0" applyFont="1" applyFill="1" applyBorder="1" applyAlignment="1" applyProtection="1">
      <alignment horizontal="center" vertical="center"/>
      <protection hidden="1"/>
    </xf>
    <xf numFmtId="0" fontId="26" fillId="16" borderId="112" xfId="0" applyFont="1" applyFill="1" applyBorder="1" applyAlignment="1" applyProtection="1">
      <alignment horizontal="center" vertical="center"/>
      <protection hidden="1"/>
    </xf>
    <xf numFmtId="0" fontId="28" fillId="16" borderId="34" xfId="0" applyFont="1" applyFill="1" applyBorder="1" applyProtection="1">
      <protection hidden="1"/>
    </xf>
    <xf numFmtId="0" fontId="15" fillId="16" borderId="0" xfId="0" applyFont="1" applyFill="1" applyAlignment="1" applyProtection="1">
      <alignment vertical="center"/>
      <protection hidden="1"/>
    </xf>
    <xf numFmtId="0" fontId="15" fillId="0" borderId="0" xfId="0" applyFont="1" applyFill="1" applyAlignment="1" applyProtection="1">
      <alignment horizontal="right" vertical="center"/>
      <protection hidden="1"/>
    </xf>
    <xf numFmtId="0" fontId="15" fillId="0" borderId="0" xfId="0" applyFont="1" applyFill="1" applyAlignment="1" applyProtection="1">
      <alignment vertical="center"/>
      <protection hidden="1"/>
    </xf>
    <xf numFmtId="0" fontId="11" fillId="16" borderId="0" xfId="0" applyFont="1" applyFill="1" applyAlignment="1" applyProtection="1">
      <alignment vertical="center"/>
      <protection hidden="1"/>
    </xf>
    <xf numFmtId="0" fontId="11" fillId="0" borderId="0" xfId="0" applyFont="1" applyFill="1" applyAlignment="1" applyProtection="1">
      <alignment horizontal="right" vertical="center"/>
      <protection hidden="1"/>
    </xf>
    <xf numFmtId="0" fontId="11" fillId="0" borderId="0" xfId="0" applyFont="1" applyFill="1" applyAlignment="1" applyProtection="1">
      <alignment vertical="center"/>
      <protection hidden="1"/>
    </xf>
    <xf numFmtId="0" fontId="28" fillId="16" borderId="0" xfId="0" applyFont="1" applyFill="1" applyAlignment="1" applyProtection="1">
      <alignment vertical="center"/>
      <protection hidden="1"/>
    </xf>
    <xf numFmtId="0" fontId="28" fillId="0" borderId="0" xfId="0" applyFont="1" applyFill="1" applyAlignment="1" applyProtection="1">
      <alignment horizontal="right" vertical="center"/>
      <protection hidden="1"/>
    </xf>
    <xf numFmtId="0" fontId="43" fillId="16" borderId="0" xfId="0" applyFont="1" applyFill="1" applyAlignment="1" applyProtection="1">
      <alignment vertical="center"/>
      <protection hidden="1"/>
    </xf>
    <xf numFmtId="0" fontId="44" fillId="16" borderId="0" xfId="0" applyFont="1" applyFill="1" applyBorder="1" applyAlignment="1" applyProtection="1">
      <alignment horizontal="center" vertical="center" wrapText="1"/>
      <protection hidden="1"/>
    </xf>
    <xf numFmtId="0" fontId="44" fillId="16" borderId="0" xfId="0" applyFont="1" applyFill="1" applyBorder="1" applyAlignment="1" applyProtection="1">
      <alignment vertical="center" wrapText="1"/>
      <protection hidden="1"/>
    </xf>
    <xf numFmtId="0" fontId="43" fillId="0" borderId="0" xfId="0" applyFont="1" applyFill="1" applyAlignment="1" applyProtection="1">
      <alignment vertical="center"/>
      <protection hidden="1"/>
    </xf>
    <xf numFmtId="0" fontId="34" fillId="16" borderId="5" xfId="0" applyFont="1" applyFill="1" applyBorder="1" applyAlignment="1" applyProtection="1">
      <alignment horizontal="center" vertical="center" wrapText="1"/>
      <protection hidden="1"/>
    </xf>
    <xf numFmtId="9" fontId="36" fillId="16" borderId="0" xfId="1" applyFont="1" applyFill="1" applyAlignment="1" applyProtection="1">
      <alignment vertical="center"/>
      <protection hidden="1"/>
    </xf>
    <xf numFmtId="0" fontId="26" fillId="16" borderId="5" xfId="0" applyFont="1" applyFill="1" applyBorder="1" applyAlignment="1" applyProtection="1">
      <alignment horizontal="center" vertical="center" wrapText="1"/>
      <protection hidden="1"/>
    </xf>
    <xf numFmtId="0" fontId="26" fillId="16" borderId="4" xfId="0" applyFont="1" applyFill="1" applyBorder="1" applyAlignment="1" applyProtection="1">
      <alignment horizontal="center" vertical="center" wrapText="1"/>
      <protection hidden="1"/>
    </xf>
    <xf numFmtId="0" fontId="26" fillId="16" borderId="0" xfId="0" applyFont="1" applyFill="1" applyAlignment="1" applyProtection="1">
      <alignment horizontal="center" vertical="center" wrapText="1"/>
      <protection hidden="1"/>
    </xf>
    <xf numFmtId="0" fontId="11" fillId="16" borderId="0" xfId="0" applyFont="1" applyFill="1" applyAlignment="1" applyProtection="1">
      <alignment horizontal="center" vertical="center"/>
      <protection hidden="1"/>
    </xf>
    <xf numFmtId="0" fontId="28" fillId="16" borderId="6" xfId="0" applyFont="1" applyFill="1" applyBorder="1" applyAlignment="1" applyProtection="1">
      <alignment horizontal="center" vertical="center" wrapText="1"/>
      <protection hidden="1"/>
    </xf>
    <xf numFmtId="168" fontId="28" fillId="16" borderId="48" xfId="2" applyNumberFormat="1" applyFont="1" applyFill="1" applyBorder="1" applyAlignment="1" applyProtection="1">
      <alignment horizontal="center" vertical="center" wrapText="1"/>
      <protection hidden="1"/>
    </xf>
    <xf numFmtId="9" fontId="28" fillId="16" borderId="0" xfId="1" applyFont="1" applyFill="1" applyBorder="1" applyAlignment="1" applyProtection="1">
      <alignment horizontal="center" vertical="center" wrapText="1"/>
      <protection hidden="1"/>
    </xf>
    <xf numFmtId="168" fontId="28" fillId="16" borderId="6" xfId="2" applyNumberFormat="1" applyFont="1" applyFill="1" applyBorder="1" applyAlignment="1" applyProtection="1">
      <alignment horizontal="center" vertical="center" wrapText="1"/>
      <protection hidden="1"/>
    </xf>
    <xf numFmtId="168" fontId="28" fillId="16" borderId="4" xfId="2" applyNumberFormat="1" applyFont="1" applyFill="1" applyBorder="1" applyAlignment="1" applyProtection="1">
      <alignment horizontal="center" vertical="center" wrapText="1"/>
      <protection hidden="1"/>
    </xf>
    <xf numFmtId="0" fontId="11" fillId="0" borderId="0" xfId="0" applyFont="1" applyFill="1" applyAlignment="1" applyProtection="1">
      <alignment horizontal="center" vertical="center"/>
      <protection hidden="1"/>
    </xf>
    <xf numFmtId="0" fontId="28" fillId="16" borderId="7" xfId="0" applyFont="1" applyFill="1" applyBorder="1" applyAlignment="1" applyProtection="1">
      <alignment horizontal="center" vertical="center" wrapText="1"/>
      <protection hidden="1"/>
    </xf>
    <xf numFmtId="9" fontId="28" fillId="16" borderId="0" xfId="1" applyFont="1" applyFill="1" applyBorder="1" applyAlignment="1" applyProtection="1">
      <alignment horizontal="center" vertical="center"/>
      <protection hidden="1"/>
    </xf>
    <xf numFmtId="168" fontId="28" fillId="16" borderId="6" xfId="2" applyNumberFormat="1" applyFont="1" applyFill="1" applyBorder="1" applyAlignment="1" applyProtection="1">
      <alignment horizontal="center" vertical="center"/>
      <protection hidden="1"/>
    </xf>
    <xf numFmtId="168" fontId="28" fillId="16" borderId="4" xfId="2" applyNumberFormat="1" applyFont="1" applyFill="1" applyBorder="1" applyAlignment="1" applyProtection="1">
      <alignment horizontal="center" vertical="center"/>
      <protection hidden="1"/>
    </xf>
    <xf numFmtId="0" fontId="26" fillId="16" borderId="70" xfId="0" applyFont="1" applyFill="1" applyBorder="1" applyAlignment="1" applyProtection="1">
      <alignment horizontal="center" vertical="center" wrapText="1"/>
      <protection hidden="1"/>
    </xf>
    <xf numFmtId="0" fontId="28" fillId="16" borderId="74" xfId="0" applyFont="1" applyFill="1" applyBorder="1" applyAlignment="1" applyProtection="1">
      <alignment horizontal="center" vertical="center" wrapText="1"/>
      <protection hidden="1"/>
    </xf>
    <xf numFmtId="9" fontId="28" fillId="16" borderId="70" xfId="1" applyFont="1" applyFill="1" applyBorder="1" applyAlignment="1" applyProtection="1">
      <alignment horizontal="center" vertical="center" wrapText="1"/>
      <protection hidden="1"/>
    </xf>
    <xf numFmtId="0" fontId="26" fillId="16" borderId="60" xfId="0" applyFont="1" applyFill="1" applyBorder="1" applyAlignment="1" applyProtection="1">
      <alignment horizontal="center" vertical="center" wrapText="1"/>
      <protection hidden="1"/>
    </xf>
    <xf numFmtId="0" fontId="28" fillId="16" borderId="72" xfId="0" applyFont="1" applyFill="1" applyBorder="1" applyAlignment="1" applyProtection="1">
      <alignment horizontal="center" vertical="center" wrapText="1"/>
      <protection hidden="1"/>
    </xf>
    <xf numFmtId="168" fontId="28" fillId="16" borderId="73" xfId="2" applyNumberFormat="1" applyFont="1" applyFill="1" applyBorder="1" applyAlignment="1" applyProtection="1">
      <alignment horizontal="center" vertical="center" wrapText="1"/>
      <protection hidden="1"/>
    </xf>
    <xf numFmtId="9" fontId="28" fillId="16" borderId="60" xfId="1" applyFont="1" applyFill="1" applyBorder="1" applyAlignment="1" applyProtection="1">
      <alignment horizontal="center" vertical="center" wrapText="1"/>
      <protection hidden="1"/>
    </xf>
    <xf numFmtId="0" fontId="26" fillId="16" borderId="0" xfId="0" applyFont="1" applyFill="1" applyAlignment="1" applyProtection="1">
      <alignment horizontal="center" vertical="center"/>
      <protection hidden="1"/>
    </xf>
    <xf numFmtId="0" fontId="26" fillId="16" borderId="0" xfId="0" applyFont="1" applyFill="1" applyBorder="1" applyAlignment="1" applyProtection="1">
      <alignment horizontal="right" vertical="center"/>
      <protection hidden="1"/>
    </xf>
    <xf numFmtId="168" fontId="26" fillId="16" borderId="49" xfId="2" applyNumberFormat="1" applyFont="1" applyFill="1" applyBorder="1" applyAlignment="1" applyProtection="1">
      <alignment horizontal="center" vertical="center" wrapText="1"/>
      <protection hidden="1"/>
    </xf>
    <xf numFmtId="9" fontId="26" fillId="16" borderId="0" xfId="1" applyFont="1" applyFill="1" applyBorder="1" applyAlignment="1" applyProtection="1">
      <alignment horizontal="center" vertical="center" wrapText="1"/>
      <protection hidden="1"/>
    </xf>
    <xf numFmtId="168" fontId="26" fillId="16" borderId="36" xfId="2" applyNumberFormat="1" applyFont="1" applyFill="1" applyBorder="1" applyAlignment="1" applyProtection="1">
      <alignment horizontal="center" vertical="center" wrapText="1"/>
      <protection hidden="1"/>
    </xf>
    <xf numFmtId="9" fontId="40" fillId="3" borderId="5" xfId="0" applyNumberFormat="1" applyFont="1" applyFill="1" applyBorder="1" applyAlignment="1" applyProtection="1">
      <alignment horizontal="center"/>
      <protection locked="0" hidden="1"/>
    </xf>
    <xf numFmtId="0" fontId="41" fillId="16" borderId="0" xfId="0" applyFont="1" applyFill="1" applyAlignment="1" applyProtection="1">
      <alignment horizontal="right" vertical="center"/>
      <protection hidden="1"/>
    </xf>
    <xf numFmtId="9" fontId="41" fillId="16" borderId="0" xfId="1" applyNumberFormat="1" applyFont="1" applyFill="1" applyAlignment="1" applyProtection="1">
      <alignment horizontal="center" vertical="center"/>
      <protection hidden="1"/>
    </xf>
    <xf numFmtId="169" fontId="28" fillId="16" borderId="89" xfId="0" applyNumberFormat="1" applyFont="1" applyFill="1" applyBorder="1" applyAlignment="1" applyProtection="1">
      <alignment horizontal="center" wrapText="1"/>
      <protection hidden="1"/>
    </xf>
    <xf numFmtId="169" fontId="28" fillId="16" borderId="92" xfId="0" applyNumberFormat="1" applyFont="1" applyFill="1" applyBorder="1" applyAlignment="1" applyProtection="1">
      <alignment horizontal="center" wrapText="1"/>
      <protection hidden="1"/>
    </xf>
    <xf numFmtId="0" fontId="28" fillId="16" borderId="0" xfId="0" applyFont="1" applyFill="1" applyBorder="1" applyAlignment="1" applyProtection="1">
      <alignment horizontal="center" vertical="center"/>
    </xf>
    <xf numFmtId="0" fontId="12" fillId="16" borderId="0" xfId="0" applyFont="1" applyFill="1" applyBorder="1" applyAlignment="1" applyProtection="1"/>
    <xf numFmtId="0" fontId="28" fillId="3" borderId="49" xfId="0" applyFont="1" applyFill="1" applyBorder="1" applyAlignment="1" applyProtection="1">
      <alignment horizontal="center" vertical="center" wrapText="1"/>
      <protection locked="0"/>
    </xf>
    <xf numFmtId="0" fontId="72" fillId="0" borderId="0" xfId="0" applyFont="1"/>
    <xf numFmtId="0" fontId="71" fillId="16" borderId="0" xfId="0" applyFont="1" applyFill="1" applyBorder="1" applyAlignment="1" applyProtection="1">
      <alignment vertical="center" wrapText="1"/>
    </xf>
    <xf numFmtId="0" fontId="70" fillId="16" borderId="70" xfId="0" applyFont="1" applyFill="1" applyBorder="1" applyAlignment="1" applyProtection="1">
      <alignment vertical="center" wrapText="1"/>
      <protection hidden="1"/>
    </xf>
    <xf numFmtId="0" fontId="11" fillId="16" borderId="0" xfId="0" applyFont="1" applyFill="1" applyBorder="1" applyAlignment="1" applyProtection="1">
      <alignment vertical="center"/>
      <protection hidden="1"/>
    </xf>
    <xf numFmtId="0" fontId="0" fillId="16" borderId="0" xfId="0" applyFill="1" applyBorder="1"/>
    <xf numFmtId="0" fontId="0" fillId="16" borderId="0" xfId="0" applyFill="1" applyBorder="1" applyAlignment="1"/>
    <xf numFmtId="0" fontId="20" fillId="16" borderId="0" xfId="0" applyFont="1" applyFill="1" applyBorder="1" applyProtection="1"/>
    <xf numFmtId="0" fontId="67" fillId="16" borderId="0" xfId="0" applyFont="1" applyFill="1" applyBorder="1"/>
    <xf numFmtId="0" fontId="28" fillId="16" borderId="0" xfId="0" applyFont="1" applyFill="1" applyBorder="1" applyAlignment="1" applyProtection="1">
      <alignment vertical="top" wrapText="1"/>
    </xf>
    <xf numFmtId="0" fontId="32" fillId="16" borderId="0" xfId="0" applyFont="1" applyFill="1" applyBorder="1" applyAlignment="1" applyProtection="1">
      <alignment vertical="center"/>
    </xf>
    <xf numFmtId="0" fontId="23" fillId="16" borderId="0" xfId="0" applyFont="1" applyFill="1" applyBorder="1" applyAlignment="1" applyProtection="1">
      <alignment vertical="center" wrapText="1"/>
    </xf>
    <xf numFmtId="0" fontId="28" fillId="16" borderId="0" xfId="0" applyFont="1" applyFill="1" applyBorder="1" applyAlignment="1" applyProtection="1">
      <alignment vertical="center"/>
      <protection hidden="1"/>
    </xf>
    <xf numFmtId="0" fontId="28" fillId="16" borderId="0" xfId="0" applyFont="1" applyFill="1" applyBorder="1" applyAlignment="1" applyProtection="1">
      <alignment horizontal="center" vertical="center"/>
      <protection hidden="1"/>
    </xf>
    <xf numFmtId="0" fontId="26" fillId="0" borderId="120" xfId="0" applyFont="1" applyFill="1" applyBorder="1" applyAlignment="1" applyProtection="1">
      <alignment horizontal="right" vertical="center"/>
      <protection hidden="1"/>
    </xf>
    <xf numFmtId="0" fontId="26" fillId="0" borderId="121" xfId="0" applyFont="1" applyFill="1" applyBorder="1" applyAlignment="1" applyProtection="1">
      <alignment horizontal="center" vertical="center"/>
      <protection hidden="1"/>
    </xf>
    <xf numFmtId="0" fontId="26" fillId="0" borderId="122" xfId="0" applyFont="1" applyFill="1" applyBorder="1" applyAlignment="1" applyProtection="1">
      <alignment horizontal="right" vertical="center"/>
      <protection hidden="1"/>
    </xf>
    <xf numFmtId="0" fontId="26" fillId="0" borderId="120" xfId="0" applyFont="1" applyFill="1" applyBorder="1" applyAlignment="1" applyProtection="1">
      <alignment horizontal="center" vertical="center"/>
      <protection hidden="1"/>
    </xf>
    <xf numFmtId="171" fontId="26" fillId="16" borderId="0" xfId="0" applyNumberFormat="1" applyFont="1" applyFill="1" applyBorder="1" applyAlignment="1" applyProtection="1">
      <alignment horizontal="center" vertical="center" wrapText="1"/>
      <protection hidden="1"/>
    </xf>
    <xf numFmtId="0" fontId="28" fillId="16" borderId="5" xfId="0" applyFont="1" applyFill="1" applyBorder="1" applyAlignment="1" applyProtection="1">
      <alignment horizontal="center"/>
      <protection locked="0" hidden="1"/>
    </xf>
    <xf numFmtId="0" fontId="26" fillId="31" borderId="43" xfId="0" applyFont="1" applyFill="1" applyBorder="1" applyAlignment="1" applyProtection="1">
      <alignment horizontal="center" vertical="center"/>
      <protection hidden="1"/>
    </xf>
    <xf numFmtId="0" fontId="28" fillId="31" borderId="3" xfId="0" applyFont="1" applyFill="1" applyBorder="1" applyAlignment="1" applyProtection="1">
      <alignment horizontal="center" vertical="center"/>
      <protection hidden="1"/>
    </xf>
    <xf numFmtId="0" fontId="30" fillId="31" borderId="40" xfId="0" applyFont="1" applyFill="1" applyBorder="1" applyAlignment="1" applyProtection="1">
      <alignment horizontal="center" vertical="center"/>
      <protection hidden="1"/>
    </xf>
    <xf numFmtId="168" fontId="73" fillId="31" borderId="3" xfId="0" applyNumberFormat="1" applyFont="1" applyFill="1" applyBorder="1" applyAlignment="1" applyProtection="1">
      <alignment horizontal="center" vertical="center"/>
      <protection hidden="1"/>
    </xf>
    <xf numFmtId="0" fontId="30" fillId="31" borderId="117" xfId="0" applyFont="1" applyFill="1" applyBorder="1" applyAlignment="1" applyProtection="1">
      <alignment horizontal="center" vertical="center"/>
      <protection hidden="1"/>
    </xf>
    <xf numFmtId="168" fontId="73" fillId="31" borderId="113" xfId="0" applyNumberFormat="1" applyFont="1" applyFill="1" applyBorder="1" applyAlignment="1" applyProtection="1">
      <alignment horizontal="center" vertical="center"/>
      <protection hidden="1"/>
    </xf>
    <xf numFmtId="0" fontId="28" fillId="16" borderId="3" xfId="0" applyFont="1" applyFill="1" applyBorder="1" applyAlignment="1" applyProtection="1">
      <alignment horizontal="center" vertical="center"/>
      <protection hidden="1"/>
    </xf>
    <xf numFmtId="168" fontId="28" fillId="16" borderId="3" xfId="0" applyNumberFormat="1" applyFont="1" applyFill="1" applyBorder="1" applyAlignment="1" applyProtection="1">
      <alignment horizontal="center" vertical="center"/>
      <protection hidden="1"/>
    </xf>
    <xf numFmtId="168" fontId="28" fillId="16" borderId="41" xfId="0" applyNumberFormat="1" applyFont="1" applyFill="1" applyBorder="1" applyAlignment="1" applyProtection="1">
      <alignment horizontal="center" vertical="center"/>
      <protection hidden="1"/>
    </xf>
    <xf numFmtId="0" fontId="30" fillId="31" borderId="43" xfId="0" applyFont="1" applyFill="1" applyBorder="1" applyAlignment="1" applyProtection="1">
      <alignment horizontal="center" vertical="center"/>
      <protection hidden="1"/>
    </xf>
    <xf numFmtId="0" fontId="70" fillId="16" borderId="70" xfId="0" applyFont="1" applyFill="1" applyBorder="1" applyAlignment="1" applyProtection="1">
      <alignment vertical="center"/>
      <protection hidden="1"/>
    </xf>
    <xf numFmtId="0" fontId="26" fillId="0" borderId="123" xfId="0" applyFont="1" applyFill="1" applyBorder="1" applyAlignment="1" applyProtection="1">
      <alignment horizontal="center" vertical="center" wrapText="1"/>
      <protection hidden="1"/>
    </xf>
    <xf numFmtId="168" fontId="28" fillId="0" borderId="124" xfId="0" applyNumberFormat="1" applyFont="1" applyFill="1" applyBorder="1" applyAlignment="1" applyProtection="1">
      <alignment horizontal="center" vertical="center"/>
      <protection hidden="1"/>
    </xf>
    <xf numFmtId="0" fontId="28" fillId="0" borderId="3" xfId="0" applyFont="1" applyFill="1" applyBorder="1" applyProtection="1">
      <protection hidden="1"/>
    </xf>
    <xf numFmtId="0" fontId="26" fillId="0" borderId="3" xfId="0" applyFont="1" applyFill="1" applyBorder="1" applyAlignment="1" applyProtection="1">
      <alignment horizontal="center" vertical="center" wrapText="1"/>
      <protection hidden="1"/>
    </xf>
    <xf numFmtId="0" fontId="28" fillId="0" borderId="3" xfId="0" applyFont="1" applyBorder="1" applyProtection="1">
      <protection hidden="1"/>
    </xf>
    <xf numFmtId="168" fontId="28" fillId="16" borderId="124" xfId="0" applyNumberFormat="1" applyFont="1" applyFill="1" applyBorder="1" applyAlignment="1" applyProtection="1">
      <alignment horizontal="center" vertical="center"/>
      <protection hidden="1"/>
    </xf>
    <xf numFmtId="168" fontId="28" fillId="16" borderId="125" xfId="2" applyNumberFormat="1" applyFont="1" applyFill="1" applyBorder="1" applyAlignment="1" applyProtection="1">
      <alignment horizontal="center" vertical="center" wrapText="1"/>
      <protection hidden="1"/>
    </xf>
    <xf numFmtId="0" fontId="28" fillId="0" borderId="40" xfId="0" applyFont="1" applyFill="1" applyBorder="1" applyAlignment="1" applyProtection="1">
      <alignment horizontal="center" vertical="center"/>
      <protection hidden="1"/>
    </xf>
    <xf numFmtId="0" fontId="28" fillId="7" borderId="0" xfId="0" applyFont="1" applyFill="1" applyAlignment="1" applyProtection="1">
      <alignment vertical="top"/>
      <protection hidden="1"/>
    </xf>
    <xf numFmtId="0" fontId="28" fillId="7" borderId="0" xfId="0" applyFont="1" applyFill="1" applyProtection="1">
      <protection hidden="1"/>
    </xf>
    <xf numFmtId="3" fontId="28" fillId="3" borderId="5" xfId="0" applyNumberFormat="1" applyFont="1" applyFill="1" applyBorder="1" applyAlignment="1" applyProtection="1">
      <alignment horizontal="center" vertical="center"/>
      <protection locked="0" hidden="1"/>
    </xf>
    <xf numFmtId="0" fontId="32" fillId="30" borderId="0" xfId="0" applyFont="1" applyFill="1" applyBorder="1" applyAlignment="1" applyProtection="1">
      <alignment wrapText="1"/>
    </xf>
    <xf numFmtId="0" fontId="32" fillId="30" borderId="0" xfId="0" applyFont="1" applyFill="1" applyBorder="1" applyAlignment="1" applyProtection="1">
      <alignment horizontal="center" wrapText="1"/>
    </xf>
    <xf numFmtId="0" fontId="32" fillId="30" borderId="0" xfId="0" applyFont="1" applyFill="1" applyBorder="1" applyAlignment="1" applyProtection="1">
      <alignment vertical="center"/>
    </xf>
    <xf numFmtId="0" fontId="26" fillId="0" borderId="3" xfId="0" applyFont="1" applyFill="1" applyBorder="1" applyProtection="1">
      <protection hidden="1"/>
    </xf>
    <xf numFmtId="0" fontId="11" fillId="0" borderId="124" xfId="0" applyFont="1" applyFill="1" applyBorder="1" applyProtection="1">
      <protection hidden="1"/>
    </xf>
    <xf numFmtId="0" fontId="11" fillId="0" borderId="132" xfId="0" applyFont="1" applyFill="1" applyBorder="1" applyProtection="1">
      <protection hidden="1"/>
    </xf>
    <xf numFmtId="0" fontId="28" fillId="0" borderId="43" xfId="0" applyFont="1" applyFill="1" applyBorder="1" applyAlignment="1" applyProtection="1">
      <alignment horizontal="center" vertical="center"/>
      <protection hidden="1"/>
    </xf>
    <xf numFmtId="0" fontId="28" fillId="0" borderId="43" xfId="0" applyFont="1" applyFill="1" applyBorder="1" applyAlignment="1" applyProtection="1">
      <alignment horizontal="right" vertical="center"/>
      <protection hidden="1"/>
    </xf>
    <xf numFmtId="0" fontId="28" fillId="0" borderId="0" xfId="0" applyFont="1" applyFill="1" applyBorder="1" applyAlignment="1" applyProtection="1">
      <alignment horizontal="center" vertical="center"/>
      <protection hidden="1"/>
    </xf>
    <xf numFmtId="0" fontId="28" fillId="0" borderId="3" xfId="0" applyFont="1" applyFill="1" applyBorder="1" applyAlignment="1" applyProtection="1">
      <alignment horizontal="right" vertical="center"/>
      <protection hidden="1"/>
    </xf>
    <xf numFmtId="0" fontId="11" fillId="0" borderId="3" xfId="0" applyFont="1" applyFill="1" applyBorder="1" applyAlignment="1" applyProtection="1">
      <alignment horizontal="center" vertical="center"/>
      <protection hidden="1"/>
    </xf>
    <xf numFmtId="0" fontId="12" fillId="0" borderId="3" xfId="0" applyFont="1" applyFill="1" applyBorder="1" applyAlignment="1" applyProtection="1">
      <alignment horizontal="center" vertical="center" wrapText="1"/>
      <protection hidden="1"/>
    </xf>
    <xf numFmtId="0" fontId="11" fillId="0" borderId="3" xfId="0" applyFont="1" applyFill="1" applyBorder="1" applyAlignment="1" applyProtection="1">
      <alignment horizontal="right"/>
      <protection hidden="1"/>
    </xf>
    <xf numFmtId="0" fontId="11" fillId="0" borderId="3" xfId="0" applyFont="1" applyFill="1" applyBorder="1" applyAlignment="1" applyProtection="1">
      <alignment horizontal="right" vertical="center"/>
      <protection hidden="1"/>
    </xf>
    <xf numFmtId="0" fontId="26" fillId="16" borderId="3" xfId="0" applyFont="1" applyFill="1" applyBorder="1" applyAlignment="1" applyProtection="1">
      <alignment horizontal="center" vertical="center" wrapText="1"/>
      <protection hidden="1"/>
    </xf>
    <xf numFmtId="0" fontId="13" fillId="0" borderId="3" xfId="0" applyFont="1" applyFill="1" applyBorder="1" applyAlignment="1" applyProtection="1">
      <alignment horizontal="center"/>
      <protection hidden="1"/>
    </xf>
    <xf numFmtId="0" fontId="28" fillId="0" borderId="3" xfId="0" applyFont="1" applyFill="1" applyBorder="1" applyAlignment="1" applyProtection="1">
      <alignment horizontal="right" vertical="center" wrapText="1"/>
      <protection hidden="1"/>
    </xf>
    <xf numFmtId="0" fontId="28" fillId="34" borderId="3" xfId="0" applyFont="1" applyFill="1" applyBorder="1" applyAlignment="1" applyProtection="1">
      <alignment wrapText="1"/>
      <protection hidden="1"/>
    </xf>
    <xf numFmtId="0" fontId="28" fillId="34" borderId="3" xfId="0" applyFont="1" applyFill="1" applyBorder="1" applyAlignment="1" applyProtection="1">
      <alignment horizontal="center" vertical="center" wrapText="1"/>
      <protection hidden="1"/>
    </xf>
    <xf numFmtId="0" fontId="11" fillId="34" borderId="3" xfId="0" applyFont="1" applyFill="1" applyBorder="1" applyAlignment="1" applyProtection="1">
      <alignment horizontal="center" vertical="center" wrapText="1"/>
      <protection hidden="1"/>
    </xf>
    <xf numFmtId="0" fontId="12" fillId="0" borderId="3" xfId="0" applyFont="1" applyFill="1" applyBorder="1" applyAlignment="1" applyProtection="1">
      <alignment horizontal="center" vertical="center"/>
      <protection hidden="1"/>
    </xf>
    <xf numFmtId="0" fontId="13" fillId="0" borderId="3" xfId="0" applyFont="1" applyFill="1" applyBorder="1" applyAlignment="1" applyProtection="1">
      <alignment horizontal="center" vertical="center"/>
      <protection hidden="1"/>
    </xf>
    <xf numFmtId="0" fontId="17" fillId="0" borderId="3" xfId="0" applyFont="1" applyFill="1" applyBorder="1" applyAlignment="1" applyProtection="1">
      <alignment horizontal="center" vertical="center"/>
      <protection hidden="1"/>
    </xf>
    <xf numFmtId="0" fontId="12" fillId="0" borderId="124" xfId="0" applyFont="1" applyFill="1" applyBorder="1" applyProtection="1">
      <protection hidden="1"/>
    </xf>
    <xf numFmtId="0" fontId="11" fillId="0" borderId="43" xfId="0" applyFont="1" applyFill="1" applyBorder="1" applyProtection="1">
      <protection hidden="1"/>
    </xf>
    <xf numFmtId="0" fontId="12" fillId="0" borderId="134" xfId="0" applyFont="1" applyFill="1" applyBorder="1" applyProtection="1">
      <protection hidden="1"/>
    </xf>
    <xf numFmtId="0" fontId="11" fillId="0" borderId="135" xfId="0" applyFont="1" applyFill="1" applyBorder="1" applyProtection="1">
      <protection hidden="1"/>
    </xf>
    <xf numFmtId="0" fontId="11" fillId="0" borderId="118" xfId="0" applyFont="1" applyFill="1" applyBorder="1" applyProtection="1">
      <protection hidden="1"/>
    </xf>
    <xf numFmtId="3" fontId="28" fillId="16" borderId="124" xfId="0" applyNumberFormat="1" applyFont="1" applyFill="1" applyBorder="1" applyAlignment="1" applyProtection="1">
      <alignment horizontal="left" vertical="top"/>
      <protection hidden="1"/>
    </xf>
    <xf numFmtId="3" fontId="28" fillId="16" borderId="132" xfId="0" applyNumberFormat="1" applyFont="1" applyFill="1" applyBorder="1" applyAlignment="1" applyProtection="1">
      <alignment horizontal="left" vertical="top" wrapText="1"/>
      <protection hidden="1"/>
    </xf>
    <xf numFmtId="0" fontId="28" fillId="17" borderId="44" xfId="0" applyFont="1" applyFill="1" applyBorder="1" applyAlignment="1" applyProtection="1">
      <alignment horizontal="center" vertical="center"/>
      <protection hidden="1"/>
    </xf>
    <xf numFmtId="0" fontId="10" fillId="5" borderId="0" xfId="0" applyFont="1" applyFill="1" applyProtection="1">
      <protection hidden="1"/>
    </xf>
    <xf numFmtId="0" fontId="20" fillId="5" borderId="0" xfId="0" applyFont="1" applyFill="1" applyProtection="1">
      <protection hidden="1"/>
    </xf>
    <xf numFmtId="0" fontId="10" fillId="28" borderId="0" xfId="0" applyFont="1" applyFill="1" applyProtection="1">
      <protection hidden="1"/>
    </xf>
    <xf numFmtId="0" fontId="20" fillId="28" borderId="0" xfId="0" applyFont="1" applyFill="1" applyProtection="1">
      <protection hidden="1"/>
    </xf>
    <xf numFmtId="3" fontId="28" fillId="16" borderId="0" xfId="0" applyNumberFormat="1" applyFont="1" applyFill="1" applyBorder="1" applyAlignment="1" applyProtection="1">
      <alignment vertical="distributed" wrapText="1"/>
      <protection hidden="1"/>
    </xf>
    <xf numFmtId="3" fontId="28" fillId="16" borderId="135" xfId="0" applyNumberFormat="1" applyFont="1" applyFill="1" applyBorder="1" applyAlignment="1" applyProtection="1">
      <alignment vertical="top" wrapText="1"/>
      <protection hidden="1"/>
    </xf>
    <xf numFmtId="3" fontId="28" fillId="16" borderId="134" xfId="0" applyNumberFormat="1" applyFont="1" applyFill="1" applyBorder="1" applyAlignment="1" applyProtection="1">
      <alignment vertical="top"/>
      <protection hidden="1"/>
    </xf>
    <xf numFmtId="3" fontId="28" fillId="16" borderId="134" xfId="0" applyNumberFormat="1" applyFont="1" applyFill="1" applyBorder="1" applyAlignment="1" applyProtection="1">
      <alignment horizontal="left" vertical="top"/>
      <protection hidden="1"/>
    </xf>
    <xf numFmtId="0" fontId="43" fillId="7" borderId="0" xfId="0" applyFont="1" applyFill="1" applyAlignment="1" applyProtection="1">
      <alignment horizontal="right" vertical="center"/>
      <protection hidden="1"/>
    </xf>
    <xf numFmtId="0" fontId="28" fillId="7" borderId="41" xfId="0" applyFont="1" applyFill="1" applyBorder="1" applyAlignment="1" applyProtection="1">
      <alignment horizontal="center" vertical="center"/>
      <protection hidden="1"/>
    </xf>
    <xf numFmtId="0" fontId="11" fillId="0" borderId="0" xfId="0" applyFont="1" applyAlignment="1" applyProtection="1">
      <alignment horizontal="left" vertical="center"/>
      <protection hidden="1"/>
    </xf>
    <xf numFmtId="0" fontId="11" fillId="0" borderId="63" xfId="0" applyFont="1" applyBorder="1" applyAlignment="1" applyProtection="1">
      <alignment horizontal="left" vertical="center"/>
      <protection hidden="1"/>
    </xf>
    <xf numFmtId="166" fontId="34" fillId="16" borderId="68" xfId="0" applyNumberFormat="1" applyFont="1" applyFill="1" applyBorder="1" applyAlignment="1" applyProtection="1">
      <alignment horizontal="center" vertical="center"/>
      <protection hidden="1"/>
    </xf>
    <xf numFmtId="9" fontId="34" fillId="16" borderId="68" xfId="1" applyFont="1" applyFill="1" applyBorder="1" applyAlignment="1" applyProtection="1">
      <alignment horizontal="center" vertical="center"/>
      <protection hidden="1"/>
    </xf>
    <xf numFmtId="9" fontId="34" fillId="16" borderId="71" xfId="1" applyFont="1" applyFill="1" applyBorder="1" applyAlignment="1" applyProtection="1">
      <alignment horizontal="center" vertical="center"/>
      <protection hidden="1"/>
    </xf>
    <xf numFmtId="0" fontId="29" fillId="11" borderId="0" xfId="0" applyFont="1" applyFill="1" applyBorder="1" applyAlignment="1" applyProtection="1">
      <alignment vertical="center"/>
      <protection hidden="1"/>
    </xf>
    <xf numFmtId="166" fontId="28" fillId="16" borderId="89" xfId="0" applyNumberFormat="1" applyFont="1" applyFill="1" applyBorder="1" applyAlignment="1" applyProtection="1">
      <alignment horizontal="center" wrapText="1"/>
      <protection hidden="1"/>
    </xf>
    <xf numFmtId="169" fontId="32" fillId="11" borderId="76" xfId="0" applyNumberFormat="1" applyFont="1" applyFill="1" applyBorder="1" applyAlignment="1" applyProtection="1">
      <alignment horizontal="center"/>
      <protection hidden="1"/>
    </xf>
    <xf numFmtId="0" fontId="26" fillId="0" borderId="37" xfId="0" applyFont="1" applyFill="1" applyBorder="1" applyAlignment="1" applyProtection="1">
      <alignment horizontal="center" vertical="center" wrapText="1"/>
      <protection hidden="1"/>
    </xf>
    <xf numFmtId="0" fontId="26" fillId="0" borderId="39" xfId="0" applyFont="1" applyFill="1" applyBorder="1" applyAlignment="1" applyProtection="1">
      <alignment horizontal="center" vertical="center" wrapText="1"/>
      <protection hidden="1"/>
    </xf>
    <xf numFmtId="0" fontId="28" fillId="16" borderId="68" xfId="0" applyFont="1" applyFill="1" applyBorder="1" applyAlignment="1" applyProtection="1">
      <alignment horizontal="center" vertical="center"/>
    </xf>
    <xf numFmtId="0" fontId="11" fillId="0" borderId="0" xfId="0" applyFont="1" applyAlignment="1" applyProtection="1">
      <alignment vertical="center"/>
      <protection hidden="1"/>
    </xf>
    <xf numFmtId="0" fontId="11" fillId="0" borderId="63" xfId="0" applyFont="1" applyBorder="1" applyAlignment="1" applyProtection="1">
      <alignment vertical="center"/>
      <protection hidden="1"/>
    </xf>
    <xf numFmtId="0" fontId="11" fillId="0" borderId="115" xfId="0" applyFont="1" applyBorder="1" applyAlignment="1" applyProtection="1">
      <alignment vertical="center"/>
      <protection hidden="1"/>
    </xf>
    <xf numFmtId="0" fontId="11" fillId="0" borderId="116" xfId="0" applyFont="1" applyBorder="1" applyAlignment="1" applyProtection="1">
      <alignment vertical="center"/>
      <protection hidden="1"/>
    </xf>
    <xf numFmtId="0" fontId="32" fillId="11" borderId="55" xfId="0" applyFont="1" applyFill="1" applyBorder="1" applyAlignment="1" applyProtection="1">
      <alignment vertical="center" wrapText="1"/>
      <protection hidden="1"/>
    </xf>
    <xf numFmtId="0" fontId="32" fillId="11" borderId="56" xfId="0" applyFont="1" applyFill="1" applyBorder="1" applyAlignment="1" applyProtection="1">
      <alignment vertical="center" wrapText="1"/>
      <protection hidden="1"/>
    </xf>
    <xf numFmtId="0" fontId="26" fillId="16" borderId="57" xfId="0" applyFont="1" applyFill="1" applyBorder="1" applyAlignment="1" applyProtection="1">
      <alignment horizontal="right" vertical="center"/>
      <protection hidden="1"/>
    </xf>
    <xf numFmtId="166" fontId="26" fillId="16" borderId="58" xfId="0" applyNumberFormat="1" applyFont="1" applyFill="1" applyBorder="1" applyAlignment="1" applyProtection="1">
      <alignment horizontal="center" vertical="center"/>
      <protection hidden="1"/>
    </xf>
    <xf numFmtId="0" fontId="37" fillId="16" borderId="57" xfId="0" applyFont="1" applyFill="1" applyBorder="1" applyAlignment="1" applyProtection="1">
      <alignment horizontal="right" vertical="center"/>
      <protection hidden="1"/>
    </xf>
    <xf numFmtId="9" fontId="26" fillId="16" borderId="58" xfId="1" applyNumberFormat="1" applyFont="1" applyFill="1" applyBorder="1" applyAlignment="1" applyProtection="1">
      <alignment horizontal="center" vertical="center"/>
      <protection hidden="1"/>
    </xf>
    <xf numFmtId="0" fontId="38" fillId="16" borderId="59" xfId="0" applyFont="1" applyFill="1" applyBorder="1" applyAlignment="1" applyProtection="1">
      <alignment horizontal="right" vertical="center"/>
      <protection hidden="1"/>
    </xf>
    <xf numFmtId="9" fontId="26" fillId="16" borderId="61" xfId="1" applyNumberFormat="1" applyFont="1" applyFill="1" applyBorder="1" applyAlignment="1" applyProtection="1">
      <alignment horizontal="center" vertical="center"/>
      <protection hidden="1"/>
    </xf>
    <xf numFmtId="0" fontId="28" fillId="16" borderId="67" xfId="0" applyFont="1" applyFill="1" applyBorder="1" applyAlignment="1" applyProtection="1">
      <alignment vertical="top" wrapText="1"/>
      <protection hidden="1"/>
    </xf>
    <xf numFmtId="0" fontId="28" fillId="16" borderId="0" xfId="0" applyFont="1" applyFill="1" applyBorder="1" applyAlignment="1" applyProtection="1">
      <alignment vertical="top" wrapText="1"/>
      <protection hidden="1"/>
    </xf>
    <xf numFmtId="0" fontId="78" fillId="16" borderId="0" xfId="0" applyFont="1" applyFill="1" applyAlignment="1" applyProtection="1">
      <alignment horizontal="right" vertical="center"/>
      <protection hidden="1"/>
    </xf>
    <xf numFmtId="9" fontId="78" fillId="16" borderId="0" xfId="1" applyFont="1" applyFill="1" applyAlignment="1" applyProtection="1">
      <alignment horizontal="center" vertical="center"/>
      <protection hidden="1"/>
    </xf>
    <xf numFmtId="0" fontId="70" fillId="16" borderId="0" xfId="0" applyFont="1" applyFill="1" applyBorder="1" applyAlignment="1" applyProtection="1">
      <alignment vertical="center"/>
      <protection hidden="1"/>
    </xf>
    <xf numFmtId="0" fontId="70" fillId="16" borderId="0" xfId="0" applyFont="1" applyFill="1" applyBorder="1" applyAlignment="1" applyProtection="1">
      <alignment vertical="center" wrapText="1"/>
      <protection hidden="1"/>
    </xf>
    <xf numFmtId="0" fontId="10" fillId="22" borderId="105" xfId="0" applyFont="1" applyFill="1" applyBorder="1" applyAlignment="1" applyProtection="1">
      <alignment wrapText="1"/>
      <protection hidden="1"/>
    </xf>
    <xf numFmtId="0" fontId="33" fillId="22" borderId="114" xfId="0" applyFont="1" applyFill="1" applyBorder="1" applyProtection="1">
      <protection hidden="1"/>
    </xf>
    <xf numFmtId="0" fontId="33" fillId="22" borderId="106" xfId="0" applyFont="1" applyFill="1" applyBorder="1" applyProtection="1">
      <protection hidden="1"/>
    </xf>
    <xf numFmtId="0" fontId="70" fillId="16" borderId="70" xfId="0" applyFont="1" applyFill="1" applyBorder="1" applyAlignment="1" applyProtection="1">
      <alignment vertical="center"/>
    </xf>
    <xf numFmtId="0" fontId="32" fillId="30" borderId="67" xfId="0" applyFont="1" applyFill="1" applyBorder="1" applyAlignment="1" applyProtection="1">
      <alignment wrapText="1"/>
    </xf>
    <xf numFmtId="0" fontId="32" fillId="30" borderId="68" xfId="0" applyFont="1" applyFill="1" applyBorder="1" applyAlignment="1" applyProtection="1">
      <alignment vertical="center"/>
    </xf>
    <xf numFmtId="0" fontId="28" fillId="16" borderId="67" xfId="0" applyFont="1" applyFill="1" applyBorder="1" applyProtection="1"/>
    <xf numFmtId="0" fontId="0" fillId="16" borderId="68" xfId="0" applyFill="1" applyBorder="1"/>
    <xf numFmtId="0" fontId="20" fillId="16" borderId="68" xfId="0" applyFont="1" applyFill="1" applyBorder="1" applyProtection="1"/>
    <xf numFmtId="0" fontId="66" fillId="16" borderId="67" xfId="0" applyFont="1" applyFill="1" applyBorder="1" applyAlignment="1" applyProtection="1">
      <alignment horizontal="center" vertical="center" wrapText="1"/>
    </xf>
    <xf numFmtId="0" fontId="66" fillId="16" borderId="68" xfId="0" applyFont="1" applyFill="1" applyBorder="1" applyAlignment="1" applyProtection="1">
      <alignment vertical="center" wrapText="1"/>
    </xf>
    <xf numFmtId="0" fontId="11" fillId="16" borderId="67" xfId="0" applyFont="1" applyFill="1" applyBorder="1" applyProtection="1"/>
    <xf numFmtId="0" fontId="0" fillId="30" borderId="0" xfId="0" applyFill="1" applyBorder="1"/>
    <xf numFmtId="0" fontId="0" fillId="16" borderId="68" xfId="0" applyFill="1" applyBorder="1" applyAlignment="1"/>
    <xf numFmtId="0" fontId="23" fillId="16" borderId="69" xfId="0" applyFont="1" applyFill="1" applyBorder="1" applyAlignment="1" applyProtection="1">
      <alignment vertical="center" wrapText="1"/>
    </xf>
    <xf numFmtId="0" fontId="23" fillId="16" borderId="70" xfId="0" applyFont="1" applyFill="1" applyBorder="1" applyAlignment="1" applyProtection="1">
      <alignment vertical="center" wrapText="1"/>
    </xf>
    <xf numFmtId="0" fontId="23" fillId="16" borderId="71" xfId="0" applyFont="1" applyFill="1" applyBorder="1" applyAlignment="1" applyProtection="1">
      <alignment vertical="center" wrapText="1"/>
    </xf>
    <xf numFmtId="0" fontId="32" fillId="22" borderId="105" xfId="0" applyFont="1" applyFill="1" applyBorder="1" applyAlignment="1" applyProtection="1">
      <alignment horizontal="left"/>
    </xf>
    <xf numFmtId="0" fontId="32" fillId="22" borderId="114" xfId="0" applyFont="1" applyFill="1" applyBorder="1" applyAlignment="1" applyProtection="1">
      <alignment horizontal="left"/>
    </xf>
    <xf numFmtId="0" fontId="32" fillId="22" borderId="114" xfId="0" applyFont="1" applyFill="1" applyBorder="1" applyAlignment="1" applyProtection="1">
      <alignment horizontal="center" wrapText="1"/>
    </xf>
    <xf numFmtId="0" fontId="32" fillId="22" borderId="114" xfId="0" applyFont="1" applyFill="1" applyBorder="1" applyAlignment="1" applyProtection="1">
      <alignment vertical="center"/>
    </xf>
    <xf numFmtId="0" fontId="32" fillId="22" borderId="106" xfId="0" applyFont="1" applyFill="1" applyBorder="1" applyAlignment="1" applyProtection="1">
      <alignment vertical="center"/>
    </xf>
    <xf numFmtId="0" fontId="29" fillId="22" borderId="105" xfId="0" applyFont="1" applyFill="1" applyBorder="1" applyAlignment="1" applyProtection="1">
      <alignment wrapText="1"/>
    </xf>
    <xf numFmtId="0" fontId="20" fillId="22" borderId="114" xfId="0" applyFont="1" applyFill="1" applyBorder="1" applyProtection="1"/>
    <xf numFmtId="0" fontId="20" fillId="22" borderId="106" xfId="0" applyFont="1" applyFill="1" applyBorder="1" applyProtection="1"/>
    <xf numFmtId="0" fontId="79" fillId="16" borderId="0" xfId="0" applyFont="1" applyFill="1" applyBorder="1" applyAlignment="1" applyProtection="1">
      <alignment vertical="center" wrapText="1"/>
      <protection hidden="1"/>
    </xf>
    <xf numFmtId="0" fontId="32" fillId="22" borderId="93" xfId="0" applyFont="1" applyFill="1" applyBorder="1" applyAlignment="1" applyProtection="1">
      <alignment horizontal="center" vertical="center" wrapText="1"/>
      <protection hidden="1"/>
    </xf>
    <xf numFmtId="0" fontId="32" fillId="22" borderId="35" xfId="0" applyFont="1" applyFill="1" applyBorder="1" applyAlignment="1" applyProtection="1">
      <alignment horizontal="center" vertical="center" wrapText="1"/>
      <protection hidden="1"/>
    </xf>
    <xf numFmtId="3" fontId="32" fillId="22" borderId="76" xfId="0" applyNumberFormat="1" applyFont="1" applyFill="1" applyBorder="1" applyAlignment="1" applyProtection="1">
      <alignment horizontal="center"/>
      <protection hidden="1"/>
    </xf>
    <xf numFmtId="0" fontId="2" fillId="16" borderId="0" xfId="0" applyFont="1" applyFill="1" applyProtection="1">
      <protection hidden="1"/>
    </xf>
    <xf numFmtId="0" fontId="56" fillId="22" borderId="0" xfId="0" applyFont="1" applyFill="1" applyAlignment="1" applyProtection="1">
      <alignment horizontal="left"/>
      <protection hidden="1"/>
    </xf>
    <xf numFmtId="0" fontId="24" fillId="22" borderId="0" xfId="0" applyFont="1" applyFill="1" applyAlignment="1" applyProtection="1">
      <protection hidden="1"/>
    </xf>
    <xf numFmtId="0" fontId="2" fillId="18" borderId="0" xfId="0" applyFont="1" applyFill="1" applyProtection="1">
      <protection hidden="1"/>
    </xf>
    <xf numFmtId="0" fontId="26" fillId="16" borderId="0" xfId="0" applyFont="1" applyFill="1" applyAlignment="1" applyProtection="1">
      <alignment horizontal="left"/>
      <protection hidden="1"/>
    </xf>
    <xf numFmtId="0" fontId="12" fillId="16" borderId="0" xfId="0" applyFont="1" applyFill="1" applyAlignment="1" applyProtection="1">
      <alignment horizontal="left"/>
      <protection hidden="1"/>
    </xf>
    <xf numFmtId="0" fontId="57" fillId="16" borderId="0" xfId="0" applyFont="1" applyFill="1" applyAlignment="1" applyProtection="1">
      <alignment vertical="center" wrapText="1"/>
      <protection hidden="1"/>
    </xf>
    <xf numFmtId="0" fontId="27" fillId="18" borderId="0" xfId="0" applyFont="1" applyFill="1" applyAlignment="1" applyProtection="1">
      <alignment vertical="center"/>
      <protection hidden="1"/>
    </xf>
    <xf numFmtId="0" fontId="27" fillId="16" borderId="0" xfId="0" applyFont="1" applyFill="1" applyAlignment="1" applyProtection="1">
      <alignment vertical="center"/>
      <protection hidden="1"/>
    </xf>
    <xf numFmtId="0" fontId="1" fillId="16" borderId="0" xfId="0" applyFont="1" applyFill="1" applyAlignment="1" applyProtection="1">
      <alignment vertical="top"/>
      <protection hidden="1"/>
    </xf>
    <xf numFmtId="0" fontId="1" fillId="16" borderId="0" xfId="0" applyFont="1" applyFill="1" applyAlignment="1" applyProtection="1">
      <alignment horizontal="left" vertical="top"/>
      <protection hidden="1"/>
    </xf>
    <xf numFmtId="0" fontId="11" fillId="16" borderId="0" xfId="0" applyFont="1" applyFill="1" applyAlignment="1" applyProtection="1">
      <alignment horizontal="left" vertical="top" wrapText="1"/>
      <protection hidden="1"/>
    </xf>
    <xf numFmtId="0" fontId="58" fillId="16" borderId="0" xfId="0" applyFont="1" applyFill="1" applyAlignment="1" applyProtection="1">
      <protection hidden="1"/>
    </xf>
    <xf numFmtId="0" fontId="27" fillId="16" borderId="0" xfId="0" applyFont="1" applyFill="1" applyAlignment="1" applyProtection="1">
      <protection hidden="1"/>
    </xf>
    <xf numFmtId="0" fontId="12" fillId="16" borderId="5" xfId="0" applyFont="1" applyFill="1" applyBorder="1" applyAlignment="1" applyProtection="1">
      <alignment wrapText="1"/>
      <protection hidden="1"/>
    </xf>
    <xf numFmtId="0" fontId="27" fillId="18" borderId="0" xfId="0" applyFont="1" applyFill="1" applyAlignment="1" applyProtection="1">
      <protection hidden="1"/>
    </xf>
    <xf numFmtId="0" fontId="58" fillId="18" borderId="0" xfId="0" applyFont="1" applyFill="1" applyAlignment="1" applyProtection="1">
      <protection hidden="1"/>
    </xf>
    <xf numFmtId="0" fontId="12" fillId="16" borderId="0" xfId="0" applyFont="1" applyFill="1" applyBorder="1" applyAlignment="1" applyProtection="1">
      <alignment wrapText="1"/>
      <protection hidden="1"/>
    </xf>
    <xf numFmtId="0" fontId="58" fillId="16" borderId="0" xfId="0" applyFont="1" applyFill="1" applyAlignment="1" applyProtection="1">
      <alignment vertical="center"/>
      <protection hidden="1"/>
    </xf>
    <xf numFmtId="0" fontId="11" fillId="30" borderId="70" xfId="0" applyFont="1" applyFill="1" applyBorder="1" applyAlignment="1" applyProtection="1">
      <alignment vertical="top" wrapText="1"/>
      <protection hidden="1"/>
    </xf>
    <xf numFmtId="0" fontId="28" fillId="30" borderId="0" xfId="0" applyFont="1" applyFill="1" applyBorder="1" applyAlignment="1" applyProtection="1">
      <alignment vertical="top" wrapText="1"/>
      <protection hidden="1"/>
    </xf>
    <xf numFmtId="0" fontId="58" fillId="18" borderId="0" xfId="0" applyFont="1" applyFill="1" applyAlignment="1" applyProtection="1">
      <alignment vertical="center"/>
      <protection hidden="1"/>
    </xf>
    <xf numFmtId="0" fontId="32" fillId="22" borderId="64" xfId="0" applyFont="1" applyFill="1" applyBorder="1" applyAlignment="1" applyProtection="1">
      <protection hidden="1"/>
    </xf>
    <xf numFmtId="0" fontId="32" fillId="22" borderId="65" xfId="0" applyFont="1" applyFill="1" applyBorder="1" applyAlignment="1" applyProtection="1">
      <protection hidden="1"/>
    </xf>
    <xf numFmtId="0" fontId="32" fillId="22" borderId="66" xfId="0" applyFont="1" applyFill="1" applyBorder="1" applyAlignment="1" applyProtection="1">
      <protection hidden="1"/>
    </xf>
    <xf numFmtId="0" fontId="32" fillId="11" borderId="107" xfId="0" applyFont="1" applyFill="1" applyBorder="1" applyAlignment="1" applyProtection="1">
      <protection hidden="1"/>
    </xf>
    <xf numFmtId="0" fontId="32" fillId="11" borderId="108" xfId="0" applyFont="1" applyFill="1" applyBorder="1" applyAlignment="1" applyProtection="1">
      <protection hidden="1"/>
    </xf>
    <xf numFmtId="0" fontId="58" fillId="16" borderId="0" xfId="0" applyFont="1" applyFill="1" applyAlignment="1" applyProtection="1">
      <alignment horizontal="left" vertical="top"/>
      <protection hidden="1"/>
    </xf>
    <xf numFmtId="0" fontId="27" fillId="16" borderId="0" xfId="0" applyFont="1" applyFill="1" applyAlignment="1" applyProtection="1">
      <alignment horizontal="left" vertical="top"/>
      <protection hidden="1"/>
    </xf>
    <xf numFmtId="0" fontId="27" fillId="18" borderId="0" xfId="0" applyFont="1" applyFill="1" applyAlignment="1" applyProtection="1">
      <alignment horizontal="left" vertical="top"/>
      <protection hidden="1"/>
    </xf>
    <xf numFmtId="0" fontId="58" fillId="18" borderId="0" xfId="0" applyFont="1" applyFill="1" applyAlignment="1" applyProtection="1">
      <alignment horizontal="left" vertical="top"/>
      <protection hidden="1"/>
    </xf>
    <xf numFmtId="0" fontId="15" fillId="16" borderId="0" xfId="0" applyFont="1" applyFill="1" applyAlignment="1" applyProtection="1">
      <protection hidden="1"/>
    </xf>
    <xf numFmtId="0" fontId="32" fillId="22" borderId="105" xfId="0" applyFont="1" applyFill="1" applyBorder="1" applyAlignment="1" applyProtection="1">
      <alignment vertical="center" wrapText="1"/>
      <protection hidden="1"/>
    </xf>
    <xf numFmtId="0" fontId="32" fillId="22" borderId="114" xfId="0" applyFont="1" applyFill="1" applyBorder="1" applyAlignment="1" applyProtection="1">
      <alignment vertical="center" wrapText="1"/>
      <protection hidden="1"/>
    </xf>
    <xf numFmtId="0" fontId="32" fillId="22" borderId="106" xfId="0" applyFont="1" applyFill="1" applyBorder="1" applyAlignment="1" applyProtection="1">
      <alignment vertical="center" wrapText="1"/>
      <protection hidden="1"/>
    </xf>
    <xf numFmtId="0" fontId="59" fillId="16" borderId="0" xfId="0" applyFont="1" applyFill="1" applyAlignment="1" applyProtection="1">
      <alignment horizontal="left" vertical="center" wrapText="1"/>
      <protection hidden="1"/>
    </xf>
    <xf numFmtId="0" fontId="12" fillId="16" borderId="0" xfId="0" applyFont="1" applyFill="1" applyAlignment="1" applyProtection="1">
      <protection hidden="1"/>
    </xf>
    <xf numFmtId="0" fontId="58" fillId="16" borderId="0" xfId="0" applyFont="1" applyFill="1" applyAlignment="1" applyProtection="1">
      <alignment horizontal="left" vertical="center" wrapText="1"/>
      <protection hidden="1"/>
    </xf>
    <xf numFmtId="0" fontId="58" fillId="16" borderId="0" xfId="0" applyFont="1" applyFill="1" applyAlignment="1" applyProtection="1">
      <alignment vertical="center" wrapText="1"/>
      <protection hidden="1"/>
    </xf>
    <xf numFmtId="0" fontId="26" fillId="16" borderId="0" xfId="0" applyFont="1" applyFill="1" applyAlignment="1" applyProtection="1">
      <protection hidden="1"/>
    </xf>
    <xf numFmtId="0" fontId="27" fillId="16" borderId="0" xfId="0" applyFont="1" applyFill="1" applyProtection="1">
      <protection hidden="1"/>
    </xf>
    <xf numFmtId="0" fontId="27" fillId="18" borderId="0" xfId="0" applyFont="1" applyFill="1" applyProtection="1">
      <protection hidden="1"/>
    </xf>
    <xf numFmtId="0" fontId="2" fillId="18" borderId="0" xfId="0" applyFont="1" applyFill="1" applyAlignment="1" applyProtection="1">
      <alignment horizontal="left"/>
      <protection hidden="1"/>
    </xf>
    <xf numFmtId="168" fontId="28" fillId="0" borderId="0" xfId="0" applyNumberFormat="1" applyFont="1" applyFill="1" applyProtection="1">
      <protection hidden="1"/>
    </xf>
    <xf numFmtId="0" fontId="28" fillId="0" borderId="40" xfId="0" applyFont="1" applyBorder="1" applyAlignment="1" applyProtection="1">
      <alignment horizontal="center" vertical="center"/>
      <protection hidden="1"/>
    </xf>
    <xf numFmtId="0" fontId="28" fillId="0" borderId="141" xfId="0" applyFont="1" applyBorder="1" applyAlignment="1" applyProtection="1">
      <alignment horizontal="center" vertical="center"/>
      <protection hidden="1"/>
    </xf>
    <xf numFmtId="0" fontId="28" fillId="7" borderId="142" xfId="0" applyFont="1" applyFill="1" applyBorder="1" applyAlignment="1" applyProtection="1">
      <alignment horizontal="center" vertical="center"/>
      <protection hidden="1"/>
    </xf>
    <xf numFmtId="0" fontId="26" fillId="0" borderId="0" xfId="0" applyFont="1" applyAlignment="1" applyProtection="1">
      <alignment horizontal="center" vertical="center"/>
      <protection hidden="1"/>
    </xf>
    <xf numFmtId="0" fontId="28" fillId="0" borderId="0" xfId="0" applyFont="1" applyAlignment="1" applyProtection="1">
      <alignment horizontal="center"/>
      <protection hidden="1"/>
    </xf>
    <xf numFmtId="0" fontId="74" fillId="0" borderId="126" xfId="0" applyFont="1" applyBorder="1" applyAlignment="1" applyProtection="1">
      <alignment horizontal="center" vertical="center"/>
      <protection hidden="1"/>
    </xf>
    <xf numFmtId="0" fontId="26" fillId="0" borderId="0" xfId="0" applyFont="1" applyAlignment="1" applyProtection="1">
      <alignment horizontal="left"/>
      <protection hidden="1"/>
    </xf>
    <xf numFmtId="0" fontId="28" fillId="0" borderId="0" xfId="0" applyFont="1" applyProtection="1">
      <protection hidden="1"/>
    </xf>
    <xf numFmtId="0" fontId="26" fillId="0" borderId="127" xfId="0" applyFont="1" applyBorder="1" applyAlignment="1" applyProtection="1">
      <alignment horizontal="right" vertical="center" wrapText="1"/>
      <protection hidden="1"/>
    </xf>
    <xf numFmtId="3" fontId="26" fillId="0" borderId="128" xfId="0" applyNumberFormat="1" applyFont="1" applyBorder="1" applyAlignment="1" applyProtection="1">
      <alignment horizontal="center" vertical="center" wrapText="1"/>
      <protection hidden="1"/>
    </xf>
    <xf numFmtId="3" fontId="35" fillId="16" borderId="5" xfId="0" applyNumberFormat="1" applyFont="1" applyFill="1" applyBorder="1" applyAlignment="1" applyProtection="1">
      <alignment horizontal="center"/>
      <protection hidden="1"/>
    </xf>
    <xf numFmtId="168" fontId="26" fillId="0" borderId="121" xfId="0" applyNumberFormat="1" applyFont="1" applyFill="1" applyBorder="1" applyAlignment="1" applyProtection="1">
      <alignment horizontal="center" vertical="center"/>
      <protection hidden="1"/>
    </xf>
    <xf numFmtId="168" fontId="28" fillId="16" borderId="113" xfId="0" applyNumberFormat="1" applyFont="1" applyFill="1" applyBorder="1" applyAlignment="1" applyProtection="1">
      <alignment horizontal="center" vertical="center"/>
      <protection hidden="1"/>
    </xf>
    <xf numFmtId="0" fontId="26" fillId="0" borderId="0" xfId="0" applyFont="1" applyFill="1" applyAlignment="1" applyProtection="1">
      <alignment horizontal="right"/>
      <protection hidden="1"/>
    </xf>
    <xf numFmtId="168" fontId="26" fillId="0" borderId="143" xfId="0" applyNumberFormat="1" applyFont="1" applyFill="1" applyBorder="1" applyAlignment="1" applyProtection="1">
      <alignment horizontal="center" vertical="center"/>
      <protection hidden="1"/>
    </xf>
    <xf numFmtId="0" fontId="28" fillId="0" borderId="43" xfId="0" applyFont="1" applyFill="1" applyBorder="1" applyProtection="1">
      <protection hidden="1"/>
    </xf>
    <xf numFmtId="0" fontId="26" fillId="0" borderId="43" xfId="0" applyFont="1" applyFill="1" applyBorder="1" applyAlignment="1" applyProtection="1">
      <alignment horizontal="center" vertical="center" wrapText="1"/>
      <protection hidden="1"/>
    </xf>
    <xf numFmtId="168" fontId="26" fillId="0" borderId="43" xfId="0" applyNumberFormat="1" applyFont="1" applyFill="1" applyBorder="1" applyAlignment="1" applyProtection="1">
      <alignment horizontal="center" vertical="center"/>
      <protection hidden="1"/>
    </xf>
    <xf numFmtId="0" fontId="28" fillId="16" borderId="40" xfId="0" applyFont="1" applyFill="1" applyBorder="1" applyAlignment="1" applyProtection="1">
      <alignment horizontal="center" vertical="center"/>
      <protection hidden="1"/>
    </xf>
    <xf numFmtId="168" fontId="26" fillId="0" borderId="128" xfId="0" applyNumberFormat="1" applyFont="1" applyFill="1" applyBorder="1" applyAlignment="1" applyProtection="1">
      <alignment horizontal="center" vertical="center"/>
      <protection hidden="1"/>
    </xf>
    <xf numFmtId="168" fontId="28" fillId="16" borderId="119" xfId="0" applyNumberFormat="1" applyFont="1" applyFill="1" applyBorder="1" applyAlignment="1" applyProtection="1">
      <alignment horizontal="center" vertical="center"/>
      <protection hidden="1"/>
    </xf>
    <xf numFmtId="0" fontId="16" fillId="22" borderId="114" xfId="0" applyFont="1" applyFill="1" applyBorder="1" applyAlignment="1" applyProtection="1">
      <alignment horizontal="center" vertical="center" wrapText="1"/>
      <protection hidden="1"/>
    </xf>
    <xf numFmtId="0" fontId="16" fillId="22" borderId="106" xfId="0" applyFont="1" applyFill="1" applyBorder="1" applyAlignment="1" applyProtection="1">
      <alignment horizontal="center" vertical="center" wrapText="1"/>
      <protection hidden="1"/>
    </xf>
    <xf numFmtId="0" fontId="0" fillId="16" borderId="0" xfId="0" applyFill="1" applyAlignment="1">
      <alignment horizontal="right"/>
    </xf>
    <xf numFmtId="3" fontId="35" fillId="16" borderId="28" xfId="0" applyNumberFormat="1" applyFont="1" applyFill="1" applyBorder="1" applyAlignment="1" applyProtection="1">
      <alignment horizontal="center" vertical="center" wrapText="1"/>
      <protection hidden="1"/>
    </xf>
    <xf numFmtId="3" fontId="32" fillId="22" borderId="5" xfId="0" applyNumberFormat="1" applyFont="1" applyFill="1" applyBorder="1" applyAlignment="1" applyProtection="1">
      <alignment horizontal="center" vertical="center"/>
      <protection hidden="1"/>
    </xf>
    <xf numFmtId="0" fontId="26" fillId="16" borderId="0" xfId="0" applyFont="1" applyFill="1" applyBorder="1" applyAlignment="1" applyProtection="1">
      <alignment horizontal="right"/>
    </xf>
    <xf numFmtId="0" fontId="30" fillId="16" borderId="0" xfId="0" applyFont="1" applyFill="1" applyBorder="1" applyAlignment="1" applyProtection="1"/>
    <xf numFmtId="0" fontId="28" fillId="35" borderId="5" xfId="0" applyFont="1" applyFill="1" applyBorder="1" applyAlignment="1" applyProtection="1">
      <alignment horizontal="center" wrapText="1"/>
      <protection hidden="1"/>
    </xf>
    <xf numFmtId="0" fontId="28" fillId="35" borderId="5" xfId="0" applyFont="1" applyFill="1" applyBorder="1" applyAlignment="1" applyProtection="1">
      <alignment horizontal="center"/>
      <protection hidden="1"/>
    </xf>
    <xf numFmtId="0" fontId="28" fillId="36" borderId="5" xfId="0" applyFont="1" applyFill="1" applyBorder="1" applyAlignment="1" applyProtection="1">
      <alignment horizontal="center"/>
      <protection hidden="1"/>
    </xf>
    <xf numFmtId="0" fontId="13" fillId="16" borderId="0" xfId="0" applyFont="1" applyFill="1" applyAlignment="1" applyProtection="1">
      <alignment horizontal="left" vertical="top" wrapText="1"/>
      <protection hidden="1"/>
    </xf>
    <xf numFmtId="0" fontId="27" fillId="16" borderId="0" xfId="0" applyFont="1" applyFill="1" applyAlignment="1" applyProtection="1">
      <alignment horizontal="left" vertical="top" wrapText="1"/>
      <protection hidden="1"/>
    </xf>
    <xf numFmtId="0" fontId="28" fillId="16" borderId="0" xfId="0" applyFont="1" applyFill="1" applyAlignment="1" applyProtection="1">
      <alignment horizontal="left" vertical="top" wrapText="1"/>
      <protection hidden="1"/>
    </xf>
    <xf numFmtId="0" fontId="28" fillId="30" borderId="139" xfId="0" applyFont="1" applyFill="1" applyBorder="1" applyAlignment="1" applyProtection="1">
      <alignment horizontal="left" vertical="top" wrapText="1"/>
      <protection hidden="1"/>
    </xf>
    <xf numFmtId="0" fontId="26" fillId="16" borderId="29" xfId="0" applyFont="1" applyFill="1" applyBorder="1" applyAlignment="1" applyProtection="1">
      <alignment horizontal="left" wrapText="1"/>
      <protection hidden="1"/>
    </xf>
    <xf numFmtId="0" fontId="26" fillId="16" borderId="84" xfId="0" applyFont="1" applyFill="1" applyBorder="1" applyAlignment="1" applyProtection="1">
      <alignment horizontal="left" wrapText="1"/>
      <protection hidden="1"/>
    </xf>
    <xf numFmtId="0" fontId="26" fillId="16" borderId="85" xfId="0" applyFont="1" applyFill="1" applyBorder="1" applyAlignment="1" applyProtection="1">
      <alignment horizontal="left" wrapText="1"/>
      <protection hidden="1"/>
    </xf>
    <xf numFmtId="0" fontId="28" fillId="0" borderId="0" xfId="0" applyFont="1" applyAlignment="1" applyProtection="1">
      <alignment horizontal="left" vertical="top" wrapText="1"/>
      <protection hidden="1"/>
    </xf>
    <xf numFmtId="0" fontId="34" fillId="16" borderId="64" xfId="0" applyFont="1" applyFill="1" applyBorder="1" applyAlignment="1" applyProtection="1">
      <alignment horizontal="left" vertical="top" wrapText="1"/>
      <protection hidden="1"/>
    </xf>
    <xf numFmtId="0" fontId="34" fillId="16" borderId="65" xfId="0" applyFont="1" applyFill="1" applyBorder="1" applyAlignment="1" applyProtection="1">
      <alignment horizontal="left" vertical="top" wrapText="1"/>
      <protection hidden="1"/>
    </xf>
    <xf numFmtId="0" fontId="34" fillId="16" borderId="66" xfId="0" applyFont="1" applyFill="1" applyBorder="1" applyAlignment="1" applyProtection="1">
      <alignment horizontal="left" vertical="top" wrapText="1"/>
      <protection hidden="1"/>
    </xf>
    <xf numFmtId="0" fontId="34" fillId="16" borderId="67" xfId="0" applyFont="1" applyFill="1" applyBorder="1" applyAlignment="1" applyProtection="1">
      <alignment horizontal="left" vertical="top" wrapText="1"/>
      <protection hidden="1"/>
    </xf>
    <xf numFmtId="0" fontId="34" fillId="16" borderId="0" xfId="0" applyFont="1" applyFill="1" applyBorder="1" applyAlignment="1" applyProtection="1">
      <alignment horizontal="left" vertical="top" wrapText="1"/>
      <protection hidden="1"/>
    </xf>
    <xf numFmtId="0" fontId="34" fillId="16" borderId="68" xfId="0" applyFont="1" applyFill="1" applyBorder="1" applyAlignment="1" applyProtection="1">
      <alignment horizontal="left" vertical="top" wrapText="1"/>
      <protection hidden="1"/>
    </xf>
    <xf numFmtId="0" fontId="34" fillId="16" borderId="69" xfId="0" applyFont="1" applyFill="1" applyBorder="1" applyAlignment="1" applyProtection="1">
      <alignment horizontal="left" vertical="top" wrapText="1"/>
      <protection hidden="1"/>
    </xf>
    <xf numFmtId="0" fontId="34" fillId="16" borderId="70" xfId="0" applyFont="1" applyFill="1" applyBorder="1" applyAlignment="1" applyProtection="1">
      <alignment horizontal="left" vertical="top" wrapText="1"/>
      <protection hidden="1"/>
    </xf>
    <xf numFmtId="0" fontId="34" fillId="16" borderId="71" xfId="0" applyFont="1" applyFill="1" applyBorder="1" applyAlignment="1" applyProtection="1">
      <alignment horizontal="left" vertical="top" wrapText="1"/>
      <protection hidden="1"/>
    </xf>
    <xf numFmtId="0" fontId="26" fillId="16" borderId="140" xfId="0" applyFont="1" applyFill="1" applyBorder="1" applyAlignment="1" applyProtection="1">
      <alignment horizontal="left" vertical="top" wrapText="1"/>
      <protection hidden="1"/>
    </xf>
    <xf numFmtId="0" fontId="26" fillId="16" borderId="0" xfId="0" applyFont="1" applyFill="1" applyBorder="1" applyAlignment="1" applyProtection="1">
      <alignment horizontal="left" vertical="top" wrapText="1"/>
      <protection hidden="1"/>
    </xf>
    <xf numFmtId="0" fontId="26" fillId="16" borderId="67" xfId="0" applyFont="1" applyFill="1" applyBorder="1" applyAlignment="1" applyProtection="1">
      <alignment horizontal="right" vertical="center"/>
      <protection hidden="1"/>
    </xf>
    <xf numFmtId="0" fontId="26" fillId="16" borderId="0" xfId="0" applyFont="1" applyFill="1" applyBorder="1" applyAlignment="1" applyProtection="1">
      <alignment horizontal="right" vertical="center"/>
      <protection hidden="1"/>
    </xf>
    <xf numFmtId="0" fontId="37" fillId="16" borderId="67" xfId="0" applyFont="1" applyFill="1" applyBorder="1" applyAlignment="1" applyProtection="1">
      <alignment horizontal="right" vertical="center"/>
      <protection hidden="1"/>
    </xf>
    <xf numFmtId="0" fontId="0" fillId="0" borderId="0" xfId="0" applyBorder="1" applyAlignment="1" applyProtection="1">
      <alignment horizontal="right" vertical="center"/>
      <protection hidden="1"/>
    </xf>
    <xf numFmtId="0" fontId="38" fillId="16" borderId="69" xfId="0" applyFont="1" applyFill="1" applyBorder="1" applyAlignment="1" applyProtection="1">
      <alignment horizontal="right" vertical="center"/>
      <protection hidden="1"/>
    </xf>
    <xf numFmtId="0" fontId="0" fillId="0" borderId="70" xfId="0" applyBorder="1" applyAlignment="1" applyProtection="1">
      <alignment horizontal="right" vertical="center"/>
      <protection hidden="1"/>
    </xf>
    <xf numFmtId="0" fontId="28" fillId="16" borderId="67" xfId="0" applyFont="1" applyFill="1" applyBorder="1" applyAlignment="1" applyProtection="1">
      <alignment horizontal="left" vertical="top" wrapText="1"/>
      <protection hidden="1"/>
    </xf>
    <xf numFmtId="0" fontId="28" fillId="16" borderId="0" xfId="0" applyFont="1" applyFill="1" applyBorder="1" applyAlignment="1" applyProtection="1">
      <alignment horizontal="left" vertical="top" wrapText="1"/>
      <protection hidden="1"/>
    </xf>
    <xf numFmtId="0" fontId="28" fillId="16" borderId="68" xfId="0" applyFont="1" applyFill="1" applyBorder="1" applyAlignment="1" applyProtection="1">
      <alignment horizontal="left" vertical="top" wrapText="1"/>
      <protection hidden="1"/>
    </xf>
    <xf numFmtId="0" fontId="28" fillId="16" borderId="69" xfId="0" applyFont="1" applyFill="1" applyBorder="1" applyAlignment="1" applyProtection="1">
      <alignment horizontal="left" vertical="top" wrapText="1"/>
      <protection hidden="1"/>
    </xf>
    <xf numFmtId="0" fontId="28" fillId="16" borderId="70" xfId="0" applyFont="1" applyFill="1" applyBorder="1" applyAlignment="1" applyProtection="1">
      <alignment horizontal="left" vertical="top" wrapText="1"/>
      <protection hidden="1"/>
    </xf>
    <xf numFmtId="0" fontId="28" fillId="16" borderId="71" xfId="0" applyFont="1" applyFill="1" applyBorder="1" applyAlignment="1" applyProtection="1">
      <alignment horizontal="left" vertical="top" wrapText="1"/>
      <protection hidden="1"/>
    </xf>
    <xf numFmtId="0" fontId="28" fillId="16" borderId="69" xfId="0" applyFont="1" applyFill="1" applyBorder="1" applyAlignment="1" applyProtection="1">
      <alignment horizontal="left" vertical="top" wrapText="1"/>
    </xf>
    <xf numFmtId="0" fontId="28" fillId="16" borderId="70" xfId="0" applyFont="1" applyFill="1" applyBorder="1" applyAlignment="1" applyProtection="1">
      <alignment horizontal="left" vertical="top" wrapText="1"/>
    </xf>
    <xf numFmtId="0" fontId="28" fillId="16" borderId="71" xfId="0" applyFont="1" applyFill="1" applyBorder="1" applyAlignment="1" applyProtection="1">
      <alignment horizontal="left" vertical="top" wrapText="1"/>
    </xf>
    <xf numFmtId="0" fontId="10" fillId="22" borderId="105" xfId="0" applyFont="1" applyFill="1" applyBorder="1" applyAlignment="1" applyProtection="1">
      <alignment horizontal="center"/>
    </xf>
    <xf numFmtId="0" fontId="10" fillId="22" borderId="106" xfId="0" applyFont="1" applyFill="1" applyBorder="1" applyAlignment="1" applyProtection="1">
      <alignment horizontal="center"/>
    </xf>
    <xf numFmtId="0" fontId="28" fillId="16" borderId="64" xfId="0" applyFont="1" applyFill="1" applyBorder="1" applyAlignment="1" applyProtection="1">
      <alignment horizontal="left" vertical="center" wrapText="1"/>
    </xf>
    <xf numFmtId="0" fontId="28" fillId="16" borderId="66" xfId="0" applyFont="1" applyFill="1" applyBorder="1" applyAlignment="1" applyProtection="1">
      <alignment horizontal="left" vertical="center" wrapText="1"/>
    </xf>
    <xf numFmtId="0" fontId="28" fillId="16" borderId="67" xfId="0" applyFont="1" applyFill="1" applyBorder="1" applyAlignment="1" applyProtection="1">
      <alignment horizontal="left" vertical="center" wrapText="1"/>
    </xf>
    <xf numFmtId="0" fontId="28" fillId="16" borderId="68" xfId="0" applyFont="1" applyFill="1" applyBorder="1" applyAlignment="1" applyProtection="1">
      <alignment horizontal="left" vertical="center" wrapText="1"/>
    </xf>
    <xf numFmtId="0" fontId="29" fillId="22" borderId="0" xfId="0" applyFont="1" applyFill="1" applyBorder="1" applyAlignment="1" applyProtection="1">
      <alignment horizontal="center" vertical="center" wrapText="1"/>
      <protection hidden="1"/>
    </xf>
    <xf numFmtId="0" fontId="29" fillId="22" borderId="64" xfId="0" applyFont="1" applyFill="1" applyBorder="1" applyAlignment="1" applyProtection="1">
      <alignment horizontal="left" vertical="center" wrapText="1"/>
      <protection hidden="1"/>
    </xf>
    <xf numFmtId="0" fontId="29" fillId="22" borderId="65" xfId="0" applyFont="1" applyFill="1" applyBorder="1" applyAlignment="1" applyProtection="1">
      <alignment horizontal="left" vertical="center" wrapText="1"/>
      <protection hidden="1"/>
    </xf>
    <xf numFmtId="0" fontId="29" fillId="22" borderId="66" xfId="0" applyFont="1" applyFill="1" applyBorder="1" applyAlignment="1" applyProtection="1">
      <alignment horizontal="left" vertical="center" wrapText="1"/>
      <protection hidden="1"/>
    </xf>
    <xf numFmtId="0" fontId="28" fillId="16" borderId="69" xfId="0" applyFont="1" applyFill="1" applyBorder="1" applyAlignment="1" applyProtection="1">
      <alignment horizontal="left" vertical="center" wrapText="1"/>
    </xf>
    <xf numFmtId="0" fontId="28" fillId="16" borderId="71" xfId="0" applyFont="1" applyFill="1" applyBorder="1" applyAlignment="1" applyProtection="1">
      <alignment horizontal="left" vertical="center" wrapText="1"/>
    </xf>
    <xf numFmtId="0" fontId="27" fillId="0" borderId="67" xfId="0" applyFont="1" applyBorder="1" applyAlignment="1">
      <alignment horizontal="left" vertical="center" wrapText="1"/>
    </xf>
    <xf numFmtId="0" fontId="27" fillId="0" borderId="68" xfId="0" applyFont="1" applyBorder="1" applyAlignment="1">
      <alignment horizontal="left" vertical="center" wrapText="1"/>
    </xf>
    <xf numFmtId="0" fontId="29" fillId="11" borderId="55" xfId="0" applyFont="1" applyFill="1" applyBorder="1" applyAlignment="1" applyProtection="1">
      <alignment horizontal="center" vertical="center" wrapText="1"/>
      <protection hidden="1"/>
    </xf>
    <xf numFmtId="0" fontId="29" fillId="11" borderId="56" xfId="0" applyFont="1" applyFill="1" applyBorder="1" applyAlignment="1" applyProtection="1">
      <alignment horizontal="center" vertical="center" wrapText="1"/>
      <protection hidden="1"/>
    </xf>
    <xf numFmtId="0" fontId="29" fillId="11" borderId="57" xfId="0" applyFont="1" applyFill="1" applyBorder="1" applyAlignment="1" applyProtection="1">
      <alignment horizontal="center" vertical="center" wrapText="1"/>
      <protection hidden="1"/>
    </xf>
    <xf numFmtId="0" fontId="29" fillId="11" borderId="58" xfId="0" applyFont="1" applyFill="1" applyBorder="1" applyAlignment="1" applyProtection="1">
      <alignment horizontal="center" vertical="center" wrapText="1"/>
      <protection hidden="1"/>
    </xf>
    <xf numFmtId="0" fontId="29" fillId="11" borderId="59" xfId="0" applyFont="1" applyFill="1" applyBorder="1" applyAlignment="1" applyProtection="1">
      <alignment horizontal="center" vertical="center" wrapText="1"/>
      <protection hidden="1"/>
    </xf>
    <xf numFmtId="0" fontId="29" fillId="11" borderId="61" xfId="0" applyFont="1" applyFill="1" applyBorder="1" applyAlignment="1" applyProtection="1">
      <alignment horizontal="center" vertical="center" wrapText="1"/>
      <protection hidden="1"/>
    </xf>
    <xf numFmtId="0" fontId="24" fillId="11" borderId="96" xfId="0" applyNumberFormat="1" applyFont="1" applyFill="1" applyBorder="1" applyAlignment="1" applyProtection="1">
      <alignment horizontal="center" vertical="center"/>
      <protection hidden="1"/>
    </xf>
    <xf numFmtId="0" fontId="24" fillId="11" borderId="97" xfId="0" applyNumberFormat="1" applyFont="1" applyFill="1" applyBorder="1" applyAlignment="1" applyProtection="1">
      <alignment horizontal="center" vertical="center"/>
      <protection hidden="1"/>
    </xf>
    <xf numFmtId="0" fontId="24" fillId="11" borderId="98" xfId="0" applyNumberFormat="1" applyFont="1" applyFill="1" applyBorder="1" applyAlignment="1" applyProtection="1">
      <alignment horizontal="center" vertical="center"/>
      <protection hidden="1"/>
    </xf>
    <xf numFmtId="1" fontId="34" fillId="16" borderId="80" xfId="0" applyNumberFormat="1" applyFont="1" applyFill="1" applyBorder="1" applyAlignment="1" applyProtection="1">
      <alignment horizontal="center" vertical="center" wrapText="1"/>
      <protection hidden="1"/>
    </xf>
    <xf numFmtId="1" fontId="34" fillId="16" borderId="81" xfId="0" applyNumberFormat="1" applyFont="1" applyFill="1" applyBorder="1" applyAlignment="1" applyProtection="1">
      <alignment horizontal="center" vertical="center" wrapText="1"/>
      <protection hidden="1"/>
    </xf>
    <xf numFmtId="1" fontId="34" fillId="16" borderId="82" xfId="0" applyNumberFormat="1" applyFont="1" applyFill="1" applyBorder="1" applyAlignment="1" applyProtection="1">
      <alignment horizontal="center" vertical="center" wrapText="1"/>
      <protection hidden="1"/>
    </xf>
    <xf numFmtId="1" fontId="26" fillId="16" borderId="96" xfId="0" applyNumberFormat="1" applyFont="1" applyFill="1" applyBorder="1" applyAlignment="1" applyProtection="1">
      <alignment horizontal="center" vertical="center" wrapText="1"/>
      <protection hidden="1"/>
    </xf>
    <xf numFmtId="1" fontId="26" fillId="16" borderId="97" xfId="0" applyNumberFormat="1" applyFont="1" applyFill="1" applyBorder="1" applyAlignment="1" applyProtection="1">
      <alignment horizontal="center" vertical="center" wrapText="1"/>
      <protection hidden="1"/>
    </xf>
    <xf numFmtId="1" fontId="26" fillId="16" borderId="98" xfId="0" applyNumberFormat="1" applyFont="1" applyFill="1" applyBorder="1" applyAlignment="1" applyProtection="1">
      <alignment horizontal="center" vertical="center" wrapText="1"/>
      <protection hidden="1"/>
    </xf>
    <xf numFmtId="170" fontId="24" fillId="22" borderId="66" xfId="0" applyNumberFormat="1" applyFont="1" applyFill="1" applyBorder="1" applyAlignment="1" applyProtection="1">
      <alignment horizontal="center" vertical="center"/>
      <protection hidden="1"/>
    </xf>
    <xf numFmtId="170" fontId="24" fillId="22" borderId="68" xfId="0" applyNumberFormat="1" applyFont="1" applyFill="1" applyBorder="1" applyAlignment="1" applyProtection="1">
      <alignment horizontal="center" vertical="center"/>
      <protection hidden="1"/>
    </xf>
    <xf numFmtId="170" fontId="24" fillId="22" borderId="71" xfId="0" applyNumberFormat="1" applyFont="1" applyFill="1" applyBorder="1" applyAlignment="1" applyProtection="1">
      <alignment horizontal="center" vertical="center"/>
      <protection hidden="1"/>
    </xf>
    <xf numFmtId="0" fontId="29" fillId="22" borderId="64" xfId="0" applyFont="1" applyFill="1" applyBorder="1" applyAlignment="1" applyProtection="1">
      <alignment horizontal="right" vertical="center" wrapText="1"/>
      <protection hidden="1"/>
    </xf>
    <xf numFmtId="0" fontId="29" fillId="22" borderId="65" xfId="0" applyFont="1" applyFill="1" applyBorder="1" applyAlignment="1" applyProtection="1">
      <alignment horizontal="right" vertical="center" wrapText="1"/>
      <protection hidden="1"/>
    </xf>
    <xf numFmtId="0" fontId="29" fillId="22" borderId="67" xfId="0" applyFont="1" applyFill="1" applyBorder="1" applyAlignment="1" applyProtection="1">
      <alignment horizontal="right" vertical="center" wrapText="1"/>
      <protection hidden="1"/>
    </xf>
    <xf numFmtId="0" fontId="29" fillId="22" borderId="0" xfId="0" applyFont="1" applyFill="1" applyBorder="1" applyAlignment="1" applyProtection="1">
      <alignment horizontal="right" vertical="center" wrapText="1"/>
      <protection hidden="1"/>
    </xf>
    <xf numFmtId="0" fontId="29" fillId="22" borderId="69" xfId="0" applyFont="1" applyFill="1" applyBorder="1" applyAlignment="1" applyProtection="1">
      <alignment horizontal="right" vertical="center" wrapText="1"/>
      <protection hidden="1"/>
    </xf>
    <xf numFmtId="0" fontId="29" fillId="22" borderId="70" xfId="0" applyFont="1" applyFill="1" applyBorder="1" applyAlignment="1" applyProtection="1">
      <alignment horizontal="right" vertical="center" wrapText="1"/>
      <protection hidden="1"/>
    </xf>
    <xf numFmtId="0" fontId="17" fillId="16" borderId="0" xfId="0" applyFont="1" applyFill="1" applyBorder="1" applyAlignment="1" applyProtection="1">
      <alignment horizontal="left" vertical="top" wrapText="1"/>
      <protection hidden="1"/>
    </xf>
    <xf numFmtId="3" fontId="75" fillId="0" borderId="30" xfId="0" applyNumberFormat="1" applyFont="1" applyFill="1" applyBorder="1" applyAlignment="1" applyProtection="1">
      <alignment horizontal="left" vertical="top" wrapText="1"/>
      <protection hidden="1"/>
    </xf>
    <xf numFmtId="3" fontId="75" fillId="0" borderId="0" xfId="0" applyNumberFormat="1" applyFont="1" applyFill="1" applyBorder="1" applyAlignment="1" applyProtection="1">
      <alignment horizontal="left" vertical="top" wrapText="1"/>
      <protection hidden="1"/>
    </xf>
    <xf numFmtId="0" fontId="32" fillId="28" borderId="93" xfId="0" applyFont="1" applyFill="1" applyBorder="1" applyAlignment="1" applyProtection="1">
      <alignment horizontal="center" vertical="center"/>
      <protection hidden="1"/>
    </xf>
    <xf numFmtId="0" fontId="32" fillId="28" borderId="86" xfId="0" applyFont="1" applyFill="1" applyBorder="1" applyAlignment="1" applyProtection="1">
      <alignment horizontal="center" vertical="center"/>
      <protection hidden="1"/>
    </xf>
    <xf numFmtId="0" fontId="32" fillId="28" borderId="94" xfId="0" applyFont="1" applyFill="1" applyBorder="1" applyAlignment="1" applyProtection="1">
      <alignment horizontal="center" vertical="center"/>
      <protection hidden="1"/>
    </xf>
    <xf numFmtId="0" fontId="32" fillId="28" borderId="87" xfId="0" applyFont="1" applyFill="1" applyBorder="1" applyAlignment="1" applyProtection="1">
      <alignment horizontal="center" vertical="center"/>
      <protection hidden="1"/>
    </xf>
    <xf numFmtId="0" fontId="28" fillId="16" borderId="110" xfId="0" applyFont="1" applyFill="1" applyBorder="1" applyAlignment="1" applyProtection="1">
      <alignment horizontal="center" vertical="center" wrapText="1"/>
      <protection hidden="1"/>
    </xf>
    <xf numFmtId="0" fontId="28" fillId="16" borderId="79" xfId="0" applyFont="1" applyFill="1" applyBorder="1" applyAlignment="1" applyProtection="1">
      <alignment horizontal="center" vertical="center" wrapText="1"/>
      <protection hidden="1"/>
    </xf>
    <xf numFmtId="3" fontId="76" fillId="16" borderId="130" xfId="0" applyNumberFormat="1" applyFont="1" applyFill="1" applyBorder="1" applyAlignment="1" applyProtection="1">
      <alignment horizontal="left" vertical="top" wrapText="1"/>
      <protection hidden="1"/>
    </xf>
    <xf numFmtId="3" fontId="76" fillId="16" borderId="131" xfId="0" applyNumberFormat="1" applyFont="1" applyFill="1" applyBorder="1" applyAlignment="1" applyProtection="1">
      <alignment horizontal="left" vertical="top" wrapText="1"/>
      <protection hidden="1"/>
    </xf>
    <xf numFmtId="3" fontId="76" fillId="16" borderId="30" xfId="0" applyNumberFormat="1" applyFont="1" applyFill="1" applyBorder="1" applyAlignment="1" applyProtection="1">
      <alignment horizontal="left" vertical="top" wrapText="1"/>
      <protection hidden="1"/>
    </xf>
    <xf numFmtId="3" fontId="76" fillId="16" borderId="136" xfId="0" applyNumberFormat="1" applyFont="1" applyFill="1" applyBorder="1" applyAlignment="1" applyProtection="1">
      <alignment horizontal="left" vertical="top" wrapText="1"/>
      <protection hidden="1"/>
    </xf>
    <xf numFmtId="3" fontId="76" fillId="16" borderId="137" xfId="0" applyNumberFormat="1" applyFont="1" applyFill="1" applyBorder="1" applyAlignment="1" applyProtection="1">
      <alignment horizontal="left" vertical="top" wrapText="1"/>
      <protection hidden="1"/>
    </xf>
    <xf numFmtId="3" fontId="76" fillId="16" borderId="138" xfId="0" applyNumberFormat="1" applyFont="1" applyFill="1" applyBorder="1" applyAlignment="1" applyProtection="1">
      <alignment horizontal="left" vertical="top" wrapText="1"/>
      <protection hidden="1"/>
    </xf>
    <xf numFmtId="0" fontId="26" fillId="0" borderId="39" xfId="0" applyFont="1" applyBorder="1" applyAlignment="1" applyProtection="1">
      <alignment horizontal="center" vertical="center" wrapText="1"/>
      <protection hidden="1"/>
    </xf>
    <xf numFmtId="0" fontId="26" fillId="0" borderId="41" xfId="0" applyFont="1" applyBorder="1" applyAlignment="1" applyProtection="1">
      <alignment horizontal="center" vertical="center" wrapText="1"/>
      <protection hidden="1"/>
    </xf>
    <xf numFmtId="0" fontId="26" fillId="0" borderId="37" xfId="0" applyFont="1" applyBorder="1" applyAlignment="1" applyProtection="1">
      <alignment horizontal="center" vertical="center" wrapText="1"/>
      <protection hidden="1"/>
    </xf>
    <xf numFmtId="0" fontId="26" fillId="0" borderId="40" xfId="0" applyFont="1" applyBorder="1" applyAlignment="1" applyProtection="1">
      <alignment horizontal="center" vertical="center" wrapText="1"/>
      <protection hidden="1"/>
    </xf>
    <xf numFmtId="3" fontId="28" fillId="16" borderId="30" xfId="0" applyNumberFormat="1" applyFont="1" applyFill="1" applyBorder="1" applyAlignment="1" applyProtection="1">
      <alignment horizontal="left" vertical="top" wrapText="1"/>
      <protection hidden="1"/>
    </xf>
    <xf numFmtId="3" fontId="28" fillId="16" borderId="0" xfId="0" applyNumberFormat="1" applyFont="1" applyFill="1" applyBorder="1" applyAlignment="1" applyProtection="1">
      <alignment horizontal="left" vertical="top" wrapText="1"/>
      <protection hidden="1"/>
    </xf>
    <xf numFmtId="0" fontId="12" fillId="0" borderId="113" xfId="0" quotePrefix="1" applyFont="1" applyFill="1" applyBorder="1" applyAlignment="1" applyProtection="1">
      <alignment horizontal="right" vertical="center"/>
      <protection hidden="1"/>
    </xf>
    <xf numFmtId="0" fontId="12" fillId="0" borderId="133" xfId="0" applyFont="1" applyFill="1" applyBorder="1" applyAlignment="1" applyProtection="1">
      <alignment horizontal="right" vertical="center"/>
      <protection hidden="1"/>
    </xf>
    <xf numFmtId="0" fontId="11" fillId="16" borderId="67" xfId="0" applyFont="1" applyFill="1" applyBorder="1" applyAlignment="1" applyProtection="1">
      <alignment vertical="top" wrapText="1"/>
      <protection hidden="1"/>
    </xf>
    <xf numFmtId="0" fontId="11" fillId="16" borderId="0" xfId="0" applyFont="1" applyFill="1" applyBorder="1" applyAlignment="1" applyProtection="1">
      <alignment vertical="top" wrapText="1"/>
      <protection hidden="1"/>
    </xf>
    <xf numFmtId="0" fontId="11" fillId="16" borderId="68" xfId="0" applyFont="1" applyFill="1" applyBorder="1" applyAlignment="1" applyProtection="1">
      <alignment vertical="top" wrapText="1"/>
      <protection hidden="1"/>
    </xf>
    <xf numFmtId="0" fontId="11" fillId="16" borderId="69" xfId="0" applyFont="1" applyFill="1" applyBorder="1" applyAlignment="1" applyProtection="1">
      <alignment vertical="top" wrapText="1"/>
      <protection hidden="1"/>
    </xf>
    <xf numFmtId="0" fontId="11" fillId="16" borderId="70" xfId="0" applyFont="1" applyFill="1" applyBorder="1" applyAlignment="1" applyProtection="1">
      <alignment vertical="top" wrapText="1"/>
      <protection hidden="1"/>
    </xf>
    <xf numFmtId="0" fontId="11" fillId="16" borderId="71" xfId="0" applyFont="1" applyFill="1" applyBorder="1" applyAlignment="1" applyProtection="1">
      <alignment vertical="top" wrapText="1"/>
      <protection hidden="1"/>
    </xf>
    <xf numFmtId="0" fontId="32" fillId="5" borderId="93" xfId="0" applyFont="1" applyFill="1" applyBorder="1" applyAlignment="1" applyProtection="1">
      <alignment horizontal="center" vertical="center"/>
      <protection hidden="1"/>
    </xf>
    <xf numFmtId="0" fontId="32" fillId="5" borderId="86" xfId="0" applyFont="1" applyFill="1" applyBorder="1" applyAlignment="1" applyProtection="1">
      <alignment horizontal="center" vertical="center"/>
      <protection hidden="1"/>
    </xf>
    <xf numFmtId="0" fontId="32" fillId="5" borderId="88" xfId="0" applyFont="1" applyFill="1" applyBorder="1" applyAlignment="1" applyProtection="1">
      <alignment horizontal="center" vertical="center"/>
      <protection hidden="1"/>
    </xf>
    <xf numFmtId="0" fontId="32" fillId="5" borderId="95" xfId="0" applyFont="1" applyFill="1" applyBorder="1" applyAlignment="1" applyProtection="1">
      <alignment horizontal="center" vertical="center"/>
      <protection hidden="1"/>
    </xf>
    <xf numFmtId="0" fontId="28" fillId="17" borderId="75" xfId="0" applyFont="1" applyFill="1" applyBorder="1" applyAlignment="1" applyProtection="1">
      <alignment horizontal="center" vertical="center"/>
      <protection hidden="1"/>
    </xf>
    <xf numFmtId="0" fontId="28" fillId="17" borderId="62" xfId="0" applyFont="1" applyFill="1" applyBorder="1" applyAlignment="1" applyProtection="1">
      <alignment horizontal="center" vertical="center"/>
      <protection hidden="1"/>
    </xf>
    <xf numFmtId="0" fontId="28" fillId="17" borderId="129" xfId="0" applyFont="1" applyFill="1" applyBorder="1" applyAlignment="1" applyProtection="1">
      <alignment horizontal="center" vertical="center"/>
      <protection hidden="1"/>
    </xf>
    <xf numFmtId="0" fontId="32" fillId="2" borderId="77" xfId="0" applyFont="1" applyFill="1" applyBorder="1" applyAlignment="1" applyProtection="1">
      <alignment horizontal="center" vertical="center" wrapText="1"/>
      <protection hidden="1"/>
    </xf>
    <xf numFmtId="0" fontId="32" fillId="2" borderId="83" xfId="0" applyFont="1" applyFill="1" applyBorder="1" applyAlignment="1" applyProtection="1">
      <alignment horizontal="center" vertical="center" wrapText="1"/>
      <protection hidden="1"/>
    </xf>
    <xf numFmtId="0" fontId="32" fillId="2" borderId="78" xfId="0" applyFont="1" applyFill="1" applyBorder="1" applyAlignment="1" applyProtection="1">
      <alignment horizontal="center" vertical="center" wrapText="1"/>
      <protection hidden="1"/>
    </xf>
    <xf numFmtId="0" fontId="32" fillId="28" borderId="5" xfId="0" applyFont="1" applyFill="1" applyBorder="1" applyAlignment="1" applyProtection="1">
      <alignment horizontal="center"/>
      <protection hidden="1"/>
    </xf>
    <xf numFmtId="0" fontId="32" fillId="22" borderId="5" xfId="0" applyFont="1" applyFill="1" applyBorder="1" applyAlignment="1" applyProtection="1">
      <alignment horizontal="center"/>
      <protection hidden="1"/>
    </xf>
    <xf numFmtId="0" fontId="32" fillId="28" borderId="29" xfId="0" applyFont="1" applyFill="1" applyBorder="1" applyAlignment="1" applyProtection="1">
      <alignment horizontal="right"/>
      <protection hidden="1"/>
    </xf>
    <xf numFmtId="0" fontId="32" fillId="28" borderId="84" xfId="0" applyFont="1" applyFill="1" applyBorder="1" applyAlignment="1" applyProtection="1">
      <alignment horizontal="right"/>
      <protection hidden="1"/>
    </xf>
    <xf numFmtId="0" fontId="32" fillId="28" borderId="85" xfId="0" applyFont="1" applyFill="1" applyBorder="1" applyAlignment="1" applyProtection="1">
      <alignment horizontal="right"/>
      <protection hidden="1"/>
    </xf>
    <xf numFmtId="0" fontId="32" fillId="5" borderId="29" xfId="0" applyFont="1" applyFill="1" applyBorder="1" applyAlignment="1" applyProtection="1">
      <alignment horizontal="right"/>
      <protection hidden="1"/>
    </xf>
    <xf numFmtId="0" fontId="32" fillId="5" borderId="84" xfId="0" applyFont="1" applyFill="1" applyBorder="1" applyAlignment="1" applyProtection="1">
      <alignment horizontal="right"/>
      <protection hidden="1"/>
    </xf>
    <xf numFmtId="0" fontId="32" fillId="5" borderId="85" xfId="0" applyFont="1" applyFill="1" applyBorder="1" applyAlignment="1" applyProtection="1">
      <alignment horizontal="right"/>
      <protection hidden="1"/>
    </xf>
    <xf numFmtId="0" fontId="32" fillId="5" borderId="5" xfId="0" applyFont="1" applyFill="1" applyBorder="1" applyAlignment="1" applyProtection="1">
      <alignment horizontal="center"/>
      <protection hidden="1"/>
    </xf>
    <xf numFmtId="0" fontId="52" fillId="16" borderId="99" xfId="0" applyFont="1" applyFill="1" applyBorder="1" applyAlignment="1" applyProtection="1">
      <alignment horizontal="center" vertical="center" wrapText="1"/>
      <protection hidden="1"/>
    </xf>
    <xf numFmtId="0" fontId="52" fillId="16" borderId="0" xfId="0" applyFont="1" applyFill="1" applyBorder="1" applyAlignment="1" applyProtection="1">
      <alignment horizontal="center" vertical="center" wrapText="1"/>
      <protection hidden="1"/>
    </xf>
    <xf numFmtId="0" fontId="52" fillId="16" borderId="100" xfId="0" applyFont="1" applyFill="1" applyBorder="1" applyAlignment="1" applyProtection="1">
      <alignment horizontal="center" vertical="center" wrapText="1"/>
      <protection hidden="1"/>
    </xf>
    <xf numFmtId="0" fontId="32" fillId="25" borderId="5" xfId="0" applyFont="1" applyFill="1" applyBorder="1" applyAlignment="1" applyProtection="1">
      <alignment horizontal="center" vertical="center" wrapText="1"/>
      <protection hidden="1"/>
    </xf>
    <xf numFmtId="0" fontId="32" fillId="25" borderId="35" xfId="0" applyFont="1" applyFill="1" applyBorder="1" applyAlignment="1" applyProtection="1">
      <alignment horizontal="center" vertical="center" wrapText="1"/>
      <protection hidden="1"/>
    </xf>
    <xf numFmtId="0" fontId="32" fillId="11" borderId="5" xfId="0" applyFont="1" applyFill="1" applyBorder="1" applyAlignment="1" applyProtection="1">
      <alignment horizontal="center" vertical="center" wrapText="1"/>
      <protection hidden="1"/>
    </xf>
    <xf numFmtId="0" fontId="32" fillId="11" borderId="35" xfId="0" applyFont="1" applyFill="1" applyBorder="1" applyAlignment="1" applyProtection="1">
      <alignment horizontal="center" vertical="center" wrapText="1"/>
      <protection hidden="1"/>
    </xf>
    <xf numFmtId="0" fontId="54" fillId="16" borderId="99" xfId="0" applyFont="1" applyFill="1" applyBorder="1" applyAlignment="1" applyProtection="1">
      <alignment horizontal="center" vertical="center" wrapText="1"/>
      <protection hidden="1"/>
    </xf>
    <xf numFmtId="0" fontId="54" fillId="16" borderId="0" xfId="0" applyFont="1" applyFill="1" applyAlignment="1" applyProtection="1">
      <alignment horizontal="center" vertical="center" wrapText="1"/>
      <protection hidden="1"/>
    </xf>
    <xf numFmtId="0" fontId="54" fillId="16" borderId="100" xfId="0" applyFont="1" applyFill="1" applyBorder="1" applyAlignment="1" applyProtection="1">
      <alignment horizontal="center" vertical="center" wrapText="1"/>
      <protection hidden="1"/>
    </xf>
    <xf numFmtId="0" fontId="55" fillId="16" borderId="99" xfId="0" applyFont="1" applyFill="1" applyBorder="1" applyAlignment="1" applyProtection="1">
      <alignment horizontal="center" vertical="center" wrapText="1"/>
      <protection hidden="1"/>
    </xf>
    <xf numFmtId="0" fontId="55" fillId="16" borderId="0" xfId="0" applyFont="1" applyFill="1" applyAlignment="1" applyProtection="1">
      <alignment horizontal="center" vertical="center" wrapText="1"/>
      <protection hidden="1"/>
    </xf>
    <xf numFmtId="0" fontId="55" fillId="16" borderId="100" xfId="0" applyFont="1" applyFill="1" applyBorder="1" applyAlignment="1" applyProtection="1">
      <alignment horizontal="center" vertical="center" wrapText="1"/>
      <protection hidden="1"/>
    </xf>
    <xf numFmtId="0" fontId="32" fillId="22" borderId="5" xfId="0" applyFont="1" applyFill="1" applyBorder="1" applyAlignment="1" applyProtection="1">
      <alignment horizontal="center" vertical="center" wrapText="1"/>
      <protection hidden="1"/>
    </xf>
    <xf numFmtId="0" fontId="32" fillId="22" borderId="35" xfId="0" applyFont="1" applyFill="1" applyBorder="1" applyAlignment="1" applyProtection="1">
      <alignment horizontal="center" vertical="center" wrapText="1"/>
      <protection hidden="1"/>
    </xf>
    <xf numFmtId="0" fontId="53" fillId="16" borderId="99" xfId="0" applyFont="1" applyFill="1" applyBorder="1" applyAlignment="1" applyProtection="1">
      <alignment horizontal="center" vertical="center" wrapText="1"/>
      <protection hidden="1"/>
    </xf>
    <xf numFmtId="0" fontId="53" fillId="16" borderId="0" xfId="0" applyFont="1" applyFill="1" applyBorder="1" applyAlignment="1" applyProtection="1">
      <alignment horizontal="center" vertical="center" wrapText="1"/>
      <protection hidden="1"/>
    </xf>
    <xf numFmtId="0" fontId="53" fillId="16" borderId="100" xfId="0" applyFont="1" applyFill="1" applyBorder="1" applyAlignment="1" applyProtection="1">
      <alignment horizontal="center" vertical="center" wrapText="1"/>
      <protection hidden="1"/>
    </xf>
    <xf numFmtId="0" fontId="22" fillId="14" borderId="0" xfId="0" applyFont="1" applyFill="1" applyBorder="1" applyAlignment="1">
      <alignment horizontal="center" vertical="center" wrapText="1"/>
    </xf>
    <xf numFmtId="0" fontId="22" fillId="14" borderId="20" xfId="0" applyFont="1" applyFill="1" applyBorder="1" applyAlignment="1">
      <alignment horizontal="center" vertical="center" wrapText="1"/>
    </xf>
    <xf numFmtId="0" fontId="5" fillId="22" borderId="0" xfId="0" applyFont="1" applyFill="1" applyBorder="1" applyAlignment="1">
      <alignment horizontal="center" vertical="center" wrapText="1"/>
    </xf>
    <xf numFmtId="0" fontId="5" fillId="22" borderId="20" xfId="0" applyFont="1" applyFill="1" applyBorder="1" applyAlignment="1">
      <alignment horizontal="center" vertical="center" wrapText="1"/>
    </xf>
    <xf numFmtId="0" fontId="22" fillId="29" borderId="50" xfId="0" applyFont="1" applyFill="1" applyBorder="1" applyAlignment="1">
      <alignment horizontal="center" vertical="center" wrapText="1"/>
    </xf>
    <xf numFmtId="0" fontId="22" fillId="29" borderId="51" xfId="0" applyFont="1" applyFill="1" applyBorder="1" applyAlignment="1">
      <alignment horizontal="center" vertical="center" wrapText="1"/>
    </xf>
    <xf numFmtId="0" fontId="5" fillId="4" borderId="12" xfId="0" applyFont="1" applyFill="1" applyBorder="1" applyAlignment="1">
      <alignment horizontal="center" vertical="center" wrapText="1"/>
    </xf>
    <xf numFmtId="0" fontId="5" fillId="4" borderId="103" xfId="0" applyFont="1" applyFill="1" applyBorder="1" applyAlignment="1">
      <alignment horizontal="center" vertical="center" wrapText="1"/>
    </xf>
    <xf numFmtId="0" fontId="5" fillId="4" borderId="0" xfId="0" applyFont="1" applyFill="1" applyBorder="1" applyAlignment="1">
      <alignment horizontal="center" vertical="center" wrapText="1"/>
    </xf>
    <xf numFmtId="0" fontId="5" fillId="19" borderId="0" xfId="0" applyFont="1" applyFill="1" applyBorder="1" applyAlignment="1">
      <alignment horizontal="center" vertical="center" wrapText="1"/>
    </xf>
    <xf numFmtId="0" fontId="5" fillId="12" borderId="12" xfId="0" applyFont="1" applyFill="1" applyBorder="1" applyAlignment="1">
      <alignment horizontal="center" vertical="center" wrapText="1"/>
    </xf>
    <xf numFmtId="0" fontId="6" fillId="14" borderId="0" xfId="0" applyFont="1" applyFill="1" applyBorder="1" applyAlignment="1">
      <alignment horizontal="center" vertical="center" wrapText="1"/>
    </xf>
    <xf numFmtId="9" fontId="5" fillId="15" borderId="0" xfId="1" applyFont="1" applyFill="1" applyBorder="1" applyAlignment="1">
      <alignment horizontal="center" vertical="center" wrapText="1"/>
    </xf>
    <xf numFmtId="0" fontId="5" fillId="11" borderId="12" xfId="0" applyFont="1" applyFill="1" applyBorder="1" applyAlignment="1">
      <alignment horizontal="center" vertical="center" wrapText="1"/>
    </xf>
    <xf numFmtId="0" fontId="6" fillId="0" borderId="0" xfId="0" applyFont="1" applyAlignment="1">
      <alignment horizontal="center"/>
    </xf>
    <xf numFmtId="0" fontId="8" fillId="16" borderId="0" xfId="0" applyFont="1" applyFill="1" applyBorder="1" applyAlignment="1">
      <alignment horizontal="center"/>
    </xf>
    <xf numFmtId="0" fontId="47" fillId="0" borderId="3" xfId="0" applyFont="1" applyBorder="1" applyAlignment="1">
      <alignment horizontal="center" vertical="center"/>
    </xf>
    <xf numFmtId="0" fontId="49" fillId="30" borderId="101" xfId="0" applyFont="1" applyFill="1" applyBorder="1" applyAlignment="1">
      <alignment horizontal="center" vertical="center" wrapText="1"/>
    </xf>
    <xf numFmtId="0" fontId="49" fillId="30" borderId="102" xfId="0" applyFont="1" applyFill="1" applyBorder="1" applyAlignment="1">
      <alignment horizontal="center" vertical="center" wrapText="1"/>
    </xf>
    <xf numFmtId="0" fontId="50" fillId="16" borderId="0" xfId="0" applyFont="1" applyFill="1" applyAlignment="1">
      <alignment horizontal="left" vertical="center" wrapText="1"/>
    </xf>
    <xf numFmtId="0" fontId="47" fillId="0" borderId="3" xfId="0" applyFont="1" applyBorder="1" applyAlignment="1">
      <alignment vertical="center"/>
    </xf>
    <xf numFmtId="0" fontId="49" fillId="16" borderId="101" xfId="0" applyFont="1" applyFill="1" applyBorder="1" applyAlignment="1">
      <alignment horizontal="center" vertical="center" wrapText="1"/>
    </xf>
    <xf numFmtId="0" fontId="49" fillId="16" borderId="102" xfId="0" applyFont="1" applyFill="1" applyBorder="1" applyAlignment="1">
      <alignment horizontal="center" vertical="center" wrapText="1"/>
    </xf>
    <xf numFmtId="0" fontId="0" fillId="16" borderId="101" xfId="0" applyFill="1" applyBorder="1" applyAlignment="1">
      <alignment horizontal="center" vertical="center" wrapText="1"/>
    </xf>
    <xf numFmtId="0" fontId="0" fillId="16" borderId="102" xfId="0" applyFill="1" applyBorder="1" applyAlignment="1">
      <alignment horizontal="center" vertical="center" wrapText="1"/>
    </xf>
    <xf numFmtId="0" fontId="0" fillId="30" borderId="101" xfId="0" applyFill="1" applyBorder="1" applyAlignment="1">
      <alignment horizontal="center" vertical="center" wrapText="1"/>
    </xf>
    <xf numFmtId="0" fontId="0" fillId="30" borderId="102" xfId="0" applyFill="1" applyBorder="1" applyAlignment="1">
      <alignment horizontal="center" vertical="center" wrapText="1"/>
    </xf>
  </cellXfs>
  <cellStyles count="7">
    <cellStyle name="Comma" xfId="2" builtinId="3"/>
    <cellStyle name="Comma 2" xfId="6"/>
    <cellStyle name="Currency 2" xfId="5"/>
    <cellStyle name="Normal" xfId="0" builtinId="0"/>
    <cellStyle name="Normal 2" xfId="3"/>
    <cellStyle name="Normal 2 2" xfId="4"/>
    <cellStyle name="Percent" xfId="1" builtinId="5"/>
  </cellStyles>
  <dxfs count="12">
    <dxf>
      <font>
        <color theme="0"/>
      </font>
      <fill>
        <patternFill>
          <bgColor theme="0"/>
        </patternFill>
      </fill>
    </dxf>
    <dxf>
      <font>
        <color rgb="FFC00000"/>
      </font>
      <fill>
        <patternFill>
          <bgColor rgb="FFFF7C8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ill>
        <patternFill>
          <bgColor theme="0"/>
        </patternFill>
      </fill>
    </dxf>
    <dxf>
      <fill>
        <patternFill>
          <bgColor theme="0"/>
        </patternFill>
      </fill>
    </dxf>
    <dxf>
      <fill>
        <patternFill>
          <bgColor theme="0"/>
        </patternFill>
      </fill>
    </dxf>
    <dxf>
      <font>
        <color rgb="FF00B050"/>
      </font>
      <fill>
        <patternFill>
          <bgColor theme="0"/>
        </patternFill>
      </fill>
    </dxf>
    <dxf>
      <fill>
        <patternFill>
          <bgColor theme="0"/>
        </patternFill>
      </fill>
    </dxf>
  </dxfs>
  <tableStyles count="0" defaultTableStyle="TableStyleMedium2" defaultPivotStyle="PivotStyleLight16"/>
  <colors>
    <mruColors>
      <color rgb="FFFF7C80"/>
      <color rgb="FFFFFFCC"/>
      <color rgb="FFFFA7A7"/>
      <color rgb="FF3B5D8D"/>
      <color rgb="FFFFFFFF"/>
      <color rgb="FFFFFFA7"/>
      <color rgb="FFFFC979"/>
      <color rgb="FF99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47623</xdr:colOff>
      <xdr:row>1</xdr:row>
      <xdr:rowOff>27898</xdr:rowOff>
    </xdr:from>
    <xdr:to>
      <xdr:col>3</xdr:col>
      <xdr:colOff>1315130</xdr:colOff>
      <xdr:row>7</xdr:row>
      <xdr:rowOff>49697</xdr:rowOff>
    </xdr:to>
    <xdr:pic>
      <xdr:nvPicPr>
        <xdr:cNvPr id="3" name="Picture 2" descr="https://media.licdn.com/dms/image/C560BAQH9r3sOm2trSQ/company-logo_200_200/0?e=2159024400&amp;v=beta&amp;t=PtZAkgHzd5y5SsCOr_ouv_8K3p4q7THa_1zq7QjX3Zc">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85036" y="417181"/>
          <a:ext cx="1267507" cy="12641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1440462</xdr:colOff>
      <xdr:row>1</xdr:row>
      <xdr:rowOff>116785</xdr:rowOff>
    </xdr:from>
    <xdr:to>
      <xdr:col>5</xdr:col>
      <xdr:colOff>0</xdr:colOff>
      <xdr:row>6</xdr:row>
      <xdr:rowOff>124239</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rotWithShape="1">
        <a:blip xmlns:r="http://schemas.openxmlformats.org/officeDocument/2006/relationships" r:embed="rId2"/>
        <a:srcRect l="8100" t="4436" r="6175" b="10956"/>
        <a:stretch/>
      </xdr:blipFill>
      <xdr:spPr>
        <a:xfrm>
          <a:off x="7577875" y="506068"/>
          <a:ext cx="1408755" cy="104278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arvis\RawTec%20Pty%20Ltd\RawTec%20Pty%20Ltd%20Team%20Site%20-%20Current%20Projects\GISA%20Recycling%20Activity%20Survey%201718\05%20Analysis%20&amp;%20Investigations\Recycling%20Activity%20Analysis%2017-18%20V1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sync\SharePoint\RawTec%20Pty%20Ltd%20Team%20Site%20-%20Current%201\GISA%20Recycling%20Activity%20Survey%201617\05%20Analysis%20&amp;%20Investigations\Recycling%20Activity%20Analysis%2016-17%20V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rvey Stats"/>
      <sheetName val="Exec Sum Pres"/>
      <sheetName val="Mat Data Pres"/>
      <sheetName val="Key Stats"/>
      <sheetName val="Landfill Data"/>
      <sheetName val="Compute Data"/>
      <sheetName val="Env Benefits"/>
      <sheetName val="RRValue$"/>
      <sheetName val="Uncertainty"/>
      <sheetName val="Industry Data 1"/>
      <sheetName val="Industry Data 2"/>
      <sheetName val="FTEs"/>
      <sheetName val="Weighbridge"/>
      <sheetName val="Masonry-"/>
      <sheetName val="ASP"/>
      <sheetName val="BRK"/>
      <sheetName val="CON"/>
      <sheetName val="PLA"/>
      <sheetName val="CFR1"/>
      <sheetName val="CFR2"/>
      <sheetName val="Metals-"/>
      <sheetName val="STE"/>
      <sheetName val="ALU"/>
      <sheetName val="NFER"/>
      <sheetName val="Organics-"/>
      <sheetName val="FORG"/>
      <sheetName val="GAR"/>
      <sheetName val="TIM"/>
      <sheetName val="MREN"/>
      <sheetName val="GRE"/>
      <sheetName val="BIO"/>
      <sheetName val="OORG"/>
      <sheetName val="Organics OTHER"/>
      <sheetName val="ZEUS  Data 09-10 to 17-18"/>
      <sheetName val="ZEUS 17-18"/>
      <sheetName val="Pap &amp; Cardbd-"/>
      <sheetName val="CAR"/>
      <sheetName val="LPB"/>
      <sheetName val="MAG"/>
      <sheetName val="NEW"/>
      <sheetName val="PHO"/>
      <sheetName val="Magazines &amp; News"/>
      <sheetName val="PAP"/>
      <sheetName val="Plastics-"/>
      <sheetName val="PET"/>
      <sheetName val="HDPE"/>
      <sheetName val="PVC"/>
      <sheetName val="LDPE"/>
      <sheetName val="PP"/>
      <sheetName val="PS"/>
      <sheetName val="MIX"/>
      <sheetName val="Glass"/>
      <sheetName val="GLA"/>
      <sheetName val="Other-"/>
      <sheetName val="FLY"/>
      <sheetName val="FSA"/>
      <sheetName val="L&amp;T"/>
      <sheetName val="RUB"/>
      <sheetName val="ALT"/>
      <sheetName val="E-waste-"/>
      <sheetName val="Ewaste"/>
      <sheetName val="Reuse-"/>
      <sheetName val="CDL Data 17-18"/>
      <sheetName val="Pack Analysis"/>
      <sheetName val="Export Data "/>
      <sheetName val="DFAT-Export Data Previous Anlys"/>
      <sheetName val="REU"/>
      <sheetName val="Export Data 12-13"/>
      <sheetName val="Glossary"/>
      <sheetName val="LFill Composition"/>
      <sheetName val="Infra Plan EF"/>
      <sheetName val="SEnv Data"/>
      <sheetName val="OLD ZEUS 11-12"/>
      <sheetName val="Emission Factors"/>
      <sheetName val="OLD Landfill Data 10-11"/>
      <sheetName val="OLD (11-12) Data"/>
      <sheetName val="notes page"/>
      <sheetName val="sources&amp;endproducts"/>
    </sheetNames>
    <sheetDataSet>
      <sheetData sheetId="0" refreshError="1"/>
      <sheetData sheetId="1" refreshError="1"/>
      <sheetData sheetId="2" refreshError="1"/>
      <sheetData sheetId="3" refreshError="1"/>
      <sheetData sheetId="4" refreshError="1"/>
      <sheetData sheetId="5">
        <row r="8">
          <cell r="B8" t="str">
            <v>Asphalt</v>
          </cell>
          <cell r="C8">
            <v>286000</v>
          </cell>
          <cell r="D8">
            <v>270000</v>
          </cell>
        </row>
        <row r="9">
          <cell r="B9" t="str">
            <v>Bricks</v>
          </cell>
          <cell r="C9">
            <v>102000</v>
          </cell>
          <cell r="D9">
            <v>42000</v>
          </cell>
        </row>
        <row r="10">
          <cell r="B10" t="str">
            <v>Concrete</v>
          </cell>
          <cell r="C10">
            <v>960000</v>
          </cell>
          <cell r="D10">
            <v>750000</v>
          </cell>
        </row>
        <row r="11">
          <cell r="B11" t="str">
            <v>Plasterboard</v>
          </cell>
          <cell r="C11">
            <v>1500</v>
          </cell>
          <cell r="D11">
            <v>1400</v>
          </cell>
        </row>
        <row r="12">
          <cell r="B12" t="str">
            <v>Clay, fines, rubble &amp; soil</v>
          </cell>
          <cell r="C12">
            <v>1052000</v>
          </cell>
          <cell r="D12">
            <v>1307000</v>
          </cell>
        </row>
        <row r="13">
          <cell r="B13" t="str">
            <v>Clay, fines, rubble &amp; soil -IWS</v>
          </cell>
          <cell r="C13">
            <v>294000</v>
          </cell>
          <cell r="D13">
            <v>214000</v>
          </cell>
        </row>
        <row r="14">
          <cell r="B14" t="str">
            <v>Total Clay, fines, rubble &amp; soil</v>
          </cell>
          <cell r="C14">
            <v>1346000</v>
          </cell>
          <cell r="D14">
            <v>1521000</v>
          </cell>
        </row>
        <row r="16">
          <cell r="B16" t="str">
            <v>Steel</v>
          </cell>
          <cell r="C16">
            <v>299000</v>
          </cell>
          <cell r="D16">
            <v>275000</v>
          </cell>
        </row>
        <row r="17">
          <cell r="B17" t="str">
            <v>Aluminium</v>
          </cell>
          <cell r="C17">
            <v>14000</v>
          </cell>
          <cell r="D17">
            <v>17000</v>
          </cell>
        </row>
        <row r="18">
          <cell r="B18" t="str">
            <v>Non-ferrous Metals</v>
          </cell>
          <cell r="C18">
            <v>19000</v>
          </cell>
          <cell r="D18">
            <v>18000</v>
          </cell>
        </row>
        <row r="20">
          <cell r="B20" t="str">
            <v>Food Organics</v>
          </cell>
          <cell r="C20">
            <v>9100</v>
          </cell>
          <cell r="D20">
            <v>8100</v>
          </cell>
        </row>
        <row r="21">
          <cell r="B21" t="str">
            <v>Garden Organics</v>
          </cell>
          <cell r="C21">
            <v>257000</v>
          </cell>
          <cell r="D21">
            <v>293000</v>
          </cell>
        </row>
        <row r="22">
          <cell r="B22" t="str">
            <v>Timber</v>
          </cell>
          <cell r="C22">
            <v>270000</v>
          </cell>
          <cell r="D22">
            <v>250000</v>
          </cell>
        </row>
        <row r="23">
          <cell r="B23" t="str">
            <v>Organics- Other**</v>
          </cell>
          <cell r="C23">
            <v>563000</v>
          </cell>
          <cell r="D23">
            <v>562000</v>
          </cell>
        </row>
        <row r="25">
          <cell r="B25" t="str">
            <v>Cardboard &amp; waxed cardboard</v>
          </cell>
          <cell r="C25">
            <v>162000</v>
          </cell>
          <cell r="D25">
            <v>170000</v>
          </cell>
        </row>
        <row r="26">
          <cell r="B26" t="str">
            <v>Liquid Paperboard</v>
          </cell>
          <cell r="C26">
            <v>1200</v>
          </cell>
          <cell r="D26">
            <v>1200</v>
          </cell>
        </row>
        <row r="27">
          <cell r="B27" t="str">
            <v>Magazines</v>
          </cell>
          <cell r="C27">
            <v>0</v>
          </cell>
          <cell r="D27">
            <v>40000</v>
          </cell>
        </row>
        <row r="28">
          <cell r="B28" t="str">
            <v>Newsprint</v>
          </cell>
          <cell r="C28">
            <v>62000</v>
          </cell>
          <cell r="D28">
            <v>29000</v>
          </cell>
        </row>
        <row r="29">
          <cell r="B29" t="str">
            <v>Phonebooks</v>
          </cell>
          <cell r="C29">
            <v>0</v>
          </cell>
          <cell r="D29">
            <v>0</v>
          </cell>
        </row>
        <row r="30">
          <cell r="B30" t="str">
            <v>Printing &amp; Writing Paper</v>
          </cell>
          <cell r="C30">
            <v>11000</v>
          </cell>
          <cell r="D30">
            <v>9000</v>
          </cell>
        </row>
        <row r="31">
          <cell r="B31" t="str">
            <v>Magazines &amp; Newprint</v>
          </cell>
          <cell r="C31">
            <v>62000</v>
          </cell>
          <cell r="D31">
            <v>69000</v>
          </cell>
        </row>
        <row r="33">
          <cell r="B33" t="str">
            <v>Polyethylene terephthalate [PIC 1]</v>
          </cell>
          <cell r="C33">
            <v>4800</v>
          </cell>
          <cell r="D33">
            <v>4200</v>
          </cell>
        </row>
        <row r="34">
          <cell r="B34" t="str">
            <v>High density polyethylene [PIC 2]</v>
          </cell>
          <cell r="C34">
            <v>6100</v>
          </cell>
          <cell r="D34">
            <v>4500</v>
          </cell>
        </row>
        <row r="35">
          <cell r="B35" t="str">
            <v>Polyvinyl chloride [PIC 3]</v>
          </cell>
          <cell r="C35">
            <v>60</v>
          </cell>
          <cell r="D35">
            <v>10</v>
          </cell>
        </row>
        <row r="36">
          <cell r="B36" t="str">
            <v>Low density polyethylene [PIC 4]</v>
          </cell>
          <cell r="C36">
            <v>3200</v>
          </cell>
          <cell r="D36">
            <v>4100</v>
          </cell>
        </row>
        <row r="37">
          <cell r="B37" t="str">
            <v>Polypropylene [PIC 5]</v>
          </cell>
          <cell r="C37">
            <v>800</v>
          </cell>
          <cell r="D37">
            <v>1400</v>
          </cell>
        </row>
        <row r="38">
          <cell r="B38" t="str">
            <v>Polystyrene [PIC 6]</v>
          </cell>
          <cell r="C38">
            <v>330</v>
          </cell>
          <cell r="D38">
            <v>300</v>
          </cell>
        </row>
        <row r="39">
          <cell r="B39" t="str">
            <v>Mixed &amp;/or Other plastics [PIC 7]</v>
          </cell>
          <cell r="C39">
            <v>15800</v>
          </cell>
          <cell r="D39">
            <v>14000</v>
          </cell>
        </row>
        <row r="41">
          <cell r="B41" t="str">
            <v>Glass</v>
          </cell>
          <cell r="C41">
            <v>60000</v>
          </cell>
          <cell r="D41">
            <v>67000</v>
          </cell>
        </row>
        <row r="43">
          <cell r="B43" t="str">
            <v>Fly ash</v>
          </cell>
          <cell r="C43">
            <v>0</v>
          </cell>
          <cell r="D43">
            <v>0</v>
          </cell>
        </row>
        <row r="44">
          <cell r="B44" t="str">
            <v>Foundry sands</v>
          </cell>
          <cell r="C44">
            <v>9600</v>
          </cell>
          <cell r="D44">
            <v>24500</v>
          </cell>
        </row>
        <row r="45">
          <cell r="B45" t="str">
            <v>Leather &amp; textiles</v>
          </cell>
          <cell r="C45">
            <v>5500</v>
          </cell>
          <cell r="D45">
            <v>4000</v>
          </cell>
        </row>
        <row r="46">
          <cell r="B46" t="str">
            <v>Tyres &amp; other rubber</v>
          </cell>
          <cell r="C46">
            <v>20000</v>
          </cell>
          <cell r="D46">
            <v>19900</v>
          </cell>
        </row>
        <row r="467">
          <cell r="A467" t="str">
            <v>Data estimations/ accuracy/ error based on year of survey data used</v>
          </cell>
        </row>
        <row r="468">
          <cell r="A468" t="str">
            <v>Old data</v>
          </cell>
          <cell r="B468" t="str">
            <v>2013-14 or earier = +-</v>
          </cell>
          <cell r="C468">
            <v>0.3</v>
          </cell>
        </row>
        <row r="469">
          <cell r="A469" t="str">
            <v>13-14 data</v>
          </cell>
          <cell r="B469" t="str">
            <v>2013-14 or earier = +-</v>
          </cell>
          <cell r="C469">
            <v>0.3</v>
          </cell>
        </row>
        <row r="470">
          <cell r="A470" t="str">
            <v>14-15 data</v>
          </cell>
          <cell r="B470" t="str">
            <v>2014-15 or earier = +-</v>
          </cell>
          <cell r="C470">
            <v>0.3</v>
          </cell>
        </row>
        <row r="471">
          <cell r="A471" t="str">
            <v>15-16 data</v>
          </cell>
          <cell r="B471" t="str">
            <v>2015-16 = +-</v>
          </cell>
          <cell r="C471">
            <v>0.2</v>
          </cell>
        </row>
        <row r="472">
          <cell r="A472" t="str">
            <v>16-17 data</v>
          </cell>
          <cell r="B472" t="str">
            <v>2016-17 = +-</v>
          </cell>
          <cell r="C472">
            <v>0.2</v>
          </cell>
        </row>
        <row r="473">
          <cell r="A473" t="str">
            <v>17-18 data</v>
          </cell>
          <cell r="B473" t="str">
            <v>2017-18 data but accuracy not provided = +-</v>
          </cell>
          <cell r="C473">
            <v>0.1</v>
          </cell>
        </row>
      </sheetData>
      <sheetData sheetId="6" refreshError="1"/>
      <sheetData sheetId="7" refreshError="1"/>
      <sheetData sheetId="8" refreshError="1"/>
      <sheetData sheetId="9" refreshError="1"/>
      <sheetData sheetId="10">
        <row r="1">
          <cell r="A1" t="str">
            <v>Q#</v>
          </cell>
          <cell r="B1" t="str">
            <v>Question</v>
          </cell>
          <cell r="C1" t="str">
            <v>Broad material</v>
          </cell>
          <cell r="D1" t="str">
            <v>Specific Stream</v>
          </cell>
          <cell r="E1" t="str">
            <v>Organisation</v>
          </cell>
          <cell r="F1" t="str">
            <v>A&amp;V Contractors</v>
          </cell>
          <cell r="G1" t="str">
            <v>AAA Recycling</v>
          </cell>
          <cell r="H1" t="str">
            <v>Accolade Wines Australia</v>
          </cell>
          <cell r="I1" t="str">
            <v xml:space="preserve">Acres Industrial Dry Cleaners </v>
          </cell>
          <cell r="J1" t="str">
            <v>Active Battery Discounters/ SA Wire Recyclers</v>
          </cell>
          <cell r="K1" t="str">
            <v>Adelaide Brighton Cement</v>
          </cell>
          <cell r="L1" t="str">
            <v>Adelaide City Council</v>
          </cell>
          <cell r="M1" t="str">
            <v>Adelaide Granulation Industries</v>
          </cell>
          <cell r="N1" t="str">
            <v>Adelaide Hills Recycling</v>
          </cell>
          <cell r="O1" t="str">
            <v>Adelaide Hills Region Waste Management Authority</v>
          </cell>
          <cell r="P1" t="str">
            <v>Adelaide Mushrooms</v>
          </cell>
          <cell r="Q1" t="str">
            <v>Adelaide Organic Recyclers Pty Ltd</v>
          </cell>
          <cell r="R1" t="str">
            <v>Adelaide Pallet Recycling</v>
          </cell>
          <cell r="S1" t="str">
            <v>Adelaide Processors Pty Ltd (Leather)</v>
          </cell>
          <cell r="T1" t="str">
            <v>Adelaide Resource Recovery</v>
          </cell>
          <cell r="U1" t="str">
            <v>Adelaide Rural Salvage</v>
          </cell>
          <cell r="V1" t="str">
            <v>Advanced Composting Technologies of Australasia Pty Ltd</v>
          </cell>
          <cell r="W1" t="str">
            <v>Advanced Plastic Recycling</v>
          </cell>
          <cell r="X1" t="str">
            <v>Advanced Recycling Technologies</v>
          </cell>
          <cell r="Y1" t="str">
            <v>Advertiser</v>
          </cell>
          <cell r="Z1" t="str">
            <v>Affinity International</v>
          </cell>
          <cell r="AA1" t="str">
            <v>Alcoa</v>
          </cell>
          <cell r="AB1" t="str">
            <v>Alexandrina Council/Fleurieu Regional Waste Authority</v>
          </cell>
          <cell r="AC1" t="str">
            <v>Alinta Energy</v>
          </cell>
          <cell r="AD1" t="str">
            <v>Almondco</v>
          </cell>
          <cell r="AE1" t="str">
            <v>Alternative Fuel Company</v>
          </cell>
          <cell r="AF1" t="str">
            <v>All State Demolitions</v>
          </cell>
          <cell r="AG1" t="str">
            <v>Anglicare</v>
          </cell>
          <cell r="AH1" t="str">
            <v>Apple Computers</v>
          </cell>
          <cell r="AI1" t="str">
            <v>Aspitech</v>
          </cell>
          <cell r="AJ1" t="str">
            <v>Associated Metals (SA)</v>
          </cell>
          <cell r="AK1" t="str">
            <v>Australian Computer Society (ACS) PC Recycling Scheme</v>
          </cell>
          <cell r="AL1" t="str">
            <v>Australian Department of Foreign Affairs &amp; Trade (DFAT), Market Research Service [Customs Export Data]</v>
          </cell>
          <cell r="AM1" t="str">
            <v xml:space="preserve">Plastic Recyclers Australia/International </v>
          </cell>
          <cell r="AN1" t="str">
            <v>Baiada Poultry (inc. Steggles)</v>
          </cell>
          <cell r="AO1" t="str">
            <v>Bill Caire Cases</v>
          </cell>
          <cell r="AP1" t="str">
            <v>Black Diamond Auto Dismantlers</v>
          </cell>
          <cell r="AQ1" t="str">
            <v>Blue Circle Southern</v>
          </cell>
          <cell r="AR1" t="str">
            <v>Boral</v>
          </cell>
          <cell r="AS1" t="str">
            <v>Brice Metals Trading</v>
          </cell>
          <cell r="AT1" t="str">
            <v xml:space="preserve">Carter Holt Harvey Woodproducts </v>
          </cell>
          <cell r="AU1" t="str">
            <v>Cartridge World</v>
          </cell>
          <cell r="AV1" t="str">
            <v>Chevron Glass</v>
          </cell>
          <cell r="AW1" t="str">
            <v>Close the Loop</v>
          </cell>
          <cell r="AX1" t="str">
            <v>CMA Ecocycle (Southern Recycling) - CFL</v>
          </cell>
          <cell r="AY1" t="str">
            <v>CMA (Southern Rocycling) - Metals</v>
          </cell>
          <cell r="AZ1" t="str">
            <v>Complete Auto Dismantlers</v>
          </cell>
          <cell r="BA1" t="str">
            <v>Compost Data (ZEUS)</v>
          </cell>
          <cell r="BB1" t="str">
            <v>Computer Recycling Services [SA Govt. Public Service] (Department of Education and Child Development, Computer Recycling Scheme)</v>
          </cell>
          <cell r="BC1" t="str">
            <v>Constellation Wines</v>
          </cell>
          <cell r="BD1" t="str">
            <v>Container Reconditioning Services</v>
          </cell>
          <cell r="BE1" t="str">
            <v>Coolfoam</v>
          </cell>
          <cell r="BF1" t="str">
            <v>Cotton Tyre Service</v>
          </cell>
          <cell r="BG1" t="str">
            <v>Crestview Pty. Ltd.</v>
          </cell>
          <cell r="BH1" t="str">
            <v>Daws Rd, Neville Rawlings</v>
          </cell>
          <cell r="BI1" t="str">
            <v>Dell Computers</v>
          </cell>
          <cell r="BJ1" t="str">
            <v>Denron Metals</v>
          </cell>
          <cell r="BK1" t="str">
            <v>DHL Supply Chain</v>
          </cell>
          <cell r="BL1" t="str">
            <v>ToxFree/Dolomatrix/Chemsal</v>
          </cell>
          <cell r="BM1" t="str">
            <v>Downer EDI Works</v>
          </cell>
          <cell r="BN1" t="str">
            <v>Dry Creek Auto Wreckers</v>
          </cell>
          <cell r="BO1" t="str">
            <v>DS Horne Pty Ltd</v>
          </cell>
          <cell r="BP1" t="str">
            <v>E-cycle Recovery/CRT Recycling</v>
          </cell>
          <cell r="BQ1" t="str">
            <v>E Cycle Solutions (MRI)</v>
          </cell>
          <cell r="BR1" t="str">
            <v>Eccosave</v>
          </cell>
          <cell r="BS1" t="str">
            <v>Encore Rubber Technologies &amp; Tyre Cycle</v>
          </cell>
          <cell r="BT1" t="str">
            <v>Exide Technologies</v>
          </cell>
          <cell r="BU1" t="str">
            <v>Ferris Enterprises</v>
          </cell>
          <cell r="BV1" t="str">
            <v>Foamex SA</v>
          </cell>
          <cell r="BW1" t="str">
            <v>Foodbank SA</v>
          </cell>
          <cell r="BX1" t="str">
            <v>Fosters Group</v>
          </cell>
          <cell r="BY1" t="str">
            <v>Fulton-Hogan</v>
          </cell>
          <cell r="BZ1" t="str">
            <v>General recycling</v>
          </cell>
          <cell r="CA1" t="str">
            <v>Giles Phillip Charles</v>
          </cell>
          <cell r="CB1" t="str">
            <v>Green Team (3 R Pty Ltd)</v>
          </cell>
          <cell r="CC1" t="str">
            <v>Green Triangle Recycling</v>
          </cell>
          <cell r="CD1" t="str">
            <v>Gunns Timber Products</v>
          </cell>
          <cell r="CE1" t="str">
            <v>HMR</v>
          </cell>
          <cell r="CF1" t="str">
            <v>Industrial Rags</v>
          </cell>
          <cell r="CG1" t="str">
            <v>Info-Active Greenscaping</v>
          </cell>
          <cell r="CH1" t="str">
            <v>Insulation Place, Lonsdale, Cool'n'Cosy</v>
          </cell>
          <cell r="CI1" t="str">
            <v>Integrated Waste Solutions</v>
          </cell>
          <cell r="CJ1" t="str">
            <v>Intercast &amp; Forge</v>
          </cell>
          <cell r="CK1" t="str">
            <v>Jeffries</v>
          </cell>
          <cell r="CL1" t="str">
            <v>K&amp;G Constructions</v>
          </cell>
          <cell r="CM1" t="str">
            <v>Kaloranoo Pty Ltd</v>
          </cell>
          <cell r="CN1" t="str">
            <v>Kuchel Contractors Pty Ltd</v>
          </cell>
          <cell r="CO1" t="str">
            <v>Lanapelle Australia Pty Ltd</v>
          </cell>
          <cell r="CP1" t="str">
            <v>Langhorne Creek Winery Pty Ltd</v>
          </cell>
          <cell r="CQ1" t="str">
            <v>Leed Engineering</v>
          </cell>
          <cell r="CR1" t="str">
            <v>Livestock Markets Limited</v>
          </cell>
          <cell r="CS1" t="str">
            <v>ResourceCo (inc Southern Waste)</v>
          </cell>
          <cell r="CT1" t="str">
            <v>Master Butchers SA</v>
          </cell>
          <cell r="CU1" t="str">
            <v>Metals Trading</v>
          </cell>
          <cell r="CV1" t="str">
            <v>Michell Australia</v>
          </cell>
          <cell r="CW1" t="str">
            <v>Mobile Muster</v>
          </cell>
          <cell r="CX1" t="str">
            <v>Monarto Quarries</v>
          </cell>
          <cell r="CY1" t="str">
            <v xml:space="preserve">Mount Gambier Area/Council/Bin-It Waste Management </v>
          </cell>
          <cell r="CZ1" t="str">
            <v>MRI/Battery World</v>
          </cell>
          <cell r="DA1" t="str">
            <v>Mushroom Farms SA Pty Ltd</v>
          </cell>
          <cell r="DB1" t="str">
            <v>Naracoorte Lucindale Council</v>
          </cell>
          <cell r="DC1" t="str">
            <v>Naracoote Recyclables</v>
          </cell>
          <cell r="DD1" t="str">
            <v>National Power</v>
          </cell>
          <cell r="DE1" t="str">
            <v>Nippys</v>
          </cell>
          <cell r="DF1" t="str">
            <v>Normetals</v>
          </cell>
          <cell r="DG1" t="str">
            <v>Norske Skog Australasia</v>
          </cell>
          <cell r="DH1" t="str">
            <v>Nuleaf Organics Pty Ltd</v>
          </cell>
          <cell r="DI1" t="str">
            <v>Nyrstar</v>
          </cell>
          <cell r="DJ1" t="str">
            <v>O-I Asia Pacific</v>
          </cell>
          <cell r="DK1" t="str">
            <v>Old Red Brick Co.</v>
          </cell>
          <cell r="DL1" t="str">
            <v>Onesteel - Recycling</v>
          </cell>
          <cell r="DM1" t="str">
            <v>OneSteel - Whyalla Steelworks</v>
          </cell>
          <cell r="DN1" t="str">
            <v>Oriental 4WD &amp; Commercial</v>
          </cell>
          <cell r="DO1" t="str">
            <v>Orlando Wines</v>
          </cell>
          <cell r="DP1" t="str">
            <v>Orora (aka Amcor)</v>
          </cell>
          <cell r="DQ1" t="str">
            <v>Oz Harvest Food Rescue</v>
          </cell>
          <cell r="DR1" t="str">
            <v>Paradise Auto Parts</v>
          </cell>
          <cell r="DS1" t="str">
            <v>Paramount Browns</v>
          </cell>
          <cell r="DT1" t="str">
            <v>Peats Soils &amp; Garden Supplies (Gabalu Pty Ltd)</v>
          </cell>
          <cell r="DU1" t="str">
            <v>Pernod Ricard Pacific</v>
          </cell>
          <cell r="DV1" t="str">
            <v>Pioneer Road Services</v>
          </cell>
          <cell r="DW1" t="str">
            <v>Plastic Recyclers Australia</v>
          </cell>
          <cell r="DX1" t="str">
            <v>Plastics Granulating Services (PGS)</v>
          </cell>
          <cell r="DY1" t="str">
            <v>Port Lincoln Council/D&amp;K Quarries</v>
          </cell>
          <cell r="DZ1" t="str">
            <v>Potters Industries</v>
          </cell>
          <cell r="EA1" t="str">
            <v>PT Demolitions (division of Perpetual Products)</v>
          </cell>
          <cell r="EB1" t="str">
            <v>Recall Information Management</v>
          </cell>
          <cell r="EC1" t="str">
            <v xml:space="preserve">Reclaim Industries </v>
          </cell>
          <cell r="ED1" t="str">
            <v>ResourceCo</v>
          </cell>
          <cell r="EE1" t="str">
            <v>ResourceCo (inc Southern Waste)</v>
          </cell>
          <cell r="EF1" t="str">
            <v>RMAX Rigis Cellular Plastics (SA)</v>
          </cell>
          <cell r="EG1" t="str">
            <v xml:space="preserve">SA Leather and Vinyl Repairs </v>
          </cell>
          <cell r="EH1" t="str">
            <v>SA Composters</v>
          </cell>
          <cell r="EI1" t="str">
            <v xml:space="preserve">SA DTEI </v>
          </cell>
          <cell r="EJ1" t="str">
            <v>SA Drum Recyclers</v>
          </cell>
          <cell r="EK1" t="str">
            <v>SA Tyre Salvage</v>
          </cell>
          <cell r="EL1" t="str">
            <v>SA Waste Management</v>
          </cell>
          <cell r="EM1" t="str">
            <v>SA Water</v>
          </cell>
          <cell r="EN1" t="str">
            <v>SA Wire Recyclers</v>
          </cell>
          <cell r="EO1" t="str">
            <v>Salvation Army</v>
          </cell>
          <cell r="EP1" t="str">
            <v>Sensis</v>
          </cell>
          <cell r="EQ1" t="str">
            <v>Shred Logics</v>
          </cell>
          <cell r="ER1" t="str">
            <v>Simsmetal</v>
          </cell>
          <cell r="ES1" t="str">
            <v xml:space="preserve">Sims E-Recycling Pty Ltd </v>
          </cell>
          <cell r="ET1" t="str">
            <v>SITA Environmental Solutions</v>
          </cell>
          <cell r="EU1" t="str">
            <v>SITA-Resource Co</v>
          </cell>
          <cell r="EV1" t="str">
            <v>SKM Recycling</v>
          </cell>
          <cell r="EW1" t="str">
            <v>Sloans Sands</v>
          </cell>
          <cell r="EX1" t="str">
            <v>Solo</v>
          </cell>
          <cell r="EY1" t="str">
            <v>South Australian EPA - CDL Data</v>
          </cell>
          <cell r="EZ1" t="str">
            <v>Southern Region Waste Resource Authority</v>
          </cell>
          <cell r="FA1" t="str">
            <v>Southern Tyre Disposals</v>
          </cell>
          <cell r="FB1" t="str">
            <v>St Vincent de Paul</v>
          </cell>
          <cell r="FC1" t="str">
            <v>Statewide Budget Re-treads</v>
          </cell>
          <cell r="FD1" t="str">
            <v>Statewide Recycling</v>
          </cell>
          <cell r="FE1" t="str">
            <v>Statewide Cleaning Cloths</v>
          </cell>
          <cell r="FF1" t="str">
            <v>Sweden Salvage</v>
          </cell>
          <cell r="FG1" t="str">
            <v>T &amp; R (Murray Bridge) Pty Ltd</v>
          </cell>
          <cell r="FH1" t="str">
            <v>Tarac</v>
          </cell>
          <cell r="FI1" t="str">
            <v>Taylors Wines Pty Ltd</v>
          </cell>
          <cell r="FJ1" t="str">
            <v>Telstra (Sensis)</v>
          </cell>
          <cell r="FK1" t="str">
            <v>Test-Amm Australia</v>
          </cell>
          <cell r="FL1" t="str">
            <v>The Tyre Collectors</v>
          </cell>
          <cell r="FM1" t="str">
            <v>TIC Group</v>
          </cell>
          <cell r="FN1" t="str">
            <v>Top Spot Auto Dismantlers</v>
          </cell>
          <cell r="FO1" t="str">
            <v>Transpacific</v>
          </cell>
          <cell r="FP1" t="str">
            <v>Tyre Crumb</v>
          </cell>
          <cell r="FQ1" t="str">
            <v>Tyre Cycle</v>
          </cell>
          <cell r="FR1" t="str">
            <v>United Care Wesley</v>
          </cell>
          <cell r="FS1" t="str">
            <v>Whyalla Council</v>
          </cell>
          <cell r="FT1" t="str">
            <v>Zero Waste SA (Now GISA) - South Australian Packaging CDL Data</v>
          </cell>
          <cell r="FU1" t="str">
            <v>Churchill Pallets</v>
          </cell>
          <cell r="FV1" t="str">
            <v>Anglicare SA Refurbished Computers</v>
          </cell>
          <cell r="FW1" t="str">
            <v>CRS Container Reconditioning Services Pty Ltd</v>
          </cell>
          <cell r="FX1" t="str">
            <v>QuickShred</v>
          </cell>
          <cell r="FY1" t="str">
            <v>Cave Civil and Environmental</v>
          </cell>
          <cell r="FZ1" t="str">
            <v>Betta Trans</v>
          </cell>
          <cell r="GA1" t="str">
            <v>Adelaide and rural Salvage</v>
          </cell>
          <cell r="GB1" t="str">
            <v>Distribution 360 Pty Ltd</v>
          </cell>
          <cell r="GC1" t="str">
            <v>Lamp Recyclers</v>
          </cell>
          <cell r="GD1" t="str">
            <v>Ceduna Recycling</v>
          </cell>
          <cell r="GE1" t="str">
            <v>Access Recycling</v>
          </cell>
          <cell r="GF1" t="str">
            <v>Trident Plastics</v>
          </cell>
          <cell r="GG1" t="str">
            <v>Topcoat Asphalt</v>
          </cell>
          <cell r="GH1" t="str">
            <v>1800 E-waste</v>
          </cell>
          <cell r="GI1" t="str">
            <v>AA Secondhand Pallets</v>
          </cell>
          <cell r="GJ1" t="str">
            <v>Absan Pty Ltd</v>
          </cell>
          <cell r="GK1" t="str">
            <v>Australian &amp; New Zealand Recycling Platform Limited/Techcollect</v>
          </cell>
          <cell r="GL1" t="str">
            <v>Australian Plastic Recycling</v>
          </cell>
          <cell r="GM1" t="str">
            <v>Electronic Product Stewardship Australasia</v>
          </cell>
          <cell r="GN1" t="str">
            <v>Independent Paper &amp; Cardboard</v>
          </cell>
          <cell r="GO1" t="str">
            <v>MTA-Association</v>
          </cell>
          <cell r="GP1" t="str">
            <v>Publishers National Environment Bureau</v>
          </cell>
          <cell r="GQ1" t="str">
            <v>Reverse E-Waste</v>
          </cell>
          <cell r="GR1" t="str">
            <v>-</v>
          </cell>
          <cell r="GS1" t="str">
            <v>Van Schaik's Organic Soils &amp; Bark Suppliers Pty Ltd/Biogro</v>
          </cell>
          <cell r="GT1" t="str">
            <v>Veolia Environmental Services</v>
          </cell>
          <cell r="GU1" t="str">
            <v>Visy Recycling - Glass</v>
          </cell>
          <cell r="GV1" t="str">
            <v>Visy ( Other - MRF)</v>
          </cell>
          <cell r="GW1" t="str">
            <v>Visy ( Other - C&amp;I)</v>
          </cell>
          <cell r="GX1" t="str">
            <v>Wormworks</v>
          </cell>
          <cell r="GY1" t="str">
            <v>YCA Recycling</v>
          </cell>
          <cell r="GZ1" t="str">
            <v>Zero Waste- E-wast collection</v>
          </cell>
          <cell r="HA1" t="str">
            <v>ZEUS Compost Data</v>
          </cell>
          <cell r="HB1" t="str">
            <v>Zero Waste SA - Council Hazardous Waste Collection</v>
          </cell>
          <cell r="HC1" t="str">
            <v>Kim Ngan Phy General Recyclers</v>
          </cell>
          <cell r="HD1" t="str">
            <v>Northern Authority Waste Management Association (NAWMA)</v>
          </cell>
          <cell r="HE1" t="str">
            <v>Renewal SA soil at Port Adelaide</v>
          </cell>
          <cell r="HF1" t="str">
            <v>Reclaim PV</v>
          </cell>
          <cell r="HG1" t="str">
            <v>Bitu Mill</v>
          </cell>
          <cell r="HH1" t="str">
            <v>Hallett Resources</v>
          </cell>
          <cell r="HI1" t="str">
            <v>Eco waste solutions (CBS bins)</v>
          </cell>
          <cell r="HJ1" t="str">
            <v>Onefortyone plantations</v>
          </cell>
        </row>
        <row r="2">
          <cell r="A2">
            <v>1</v>
          </cell>
          <cell r="B2" t="str">
            <v>Your company or organisation’s contact address and details.</v>
          </cell>
          <cell r="W2" t="str">
            <v>Lot 9, 500 Churchill Rd Kilburn</v>
          </cell>
          <cell r="AB2" t="str">
            <v xml:space="preserve">1226 Port Elliot Rd Goolwa SA </v>
          </cell>
          <cell r="AD2" t="str">
            <v>869 Stanitzki Rd, Lyrup</v>
          </cell>
          <cell r="AI2" t="str">
            <v>149 Holbrooks Road, Underdale S.A 5032</v>
          </cell>
          <cell r="AN2" t="str">
            <v>17-22 Moss Road Wingfield South Australia 5013</v>
          </cell>
          <cell r="AR2" t="str">
            <v>199 Blacktop rd, Gould creek</v>
          </cell>
          <cell r="AV2" t="str">
            <v>5 Brandwood St, Royal Park</v>
          </cell>
          <cell r="BH2" t="str">
            <v>AB&amp;SM Rawlings Pty Ltd - Trading as Daws Road Bottle Co</v>
          </cell>
          <cell r="BJ2" t="str">
            <v>22 West Thebarton rd Thebarton</v>
          </cell>
          <cell r="BM2" t="str">
            <v>T3, Triniti Business Campus
39 Delhi Road, North Ryde NSW 2113</v>
          </cell>
          <cell r="BV2" t="str">
            <v>15 Peachey Rd, Edinburgh North, 5113</v>
          </cell>
          <cell r="BY2" t="str">
            <v>Suite 4, 1 London Road Mile End South SA 5031</v>
          </cell>
          <cell r="CB2" t="str">
            <v>4 Langford St Pooraka</v>
          </cell>
          <cell r="CC2" t="str">
            <v>PO Box 2276, Mount Gambier SA 5290</v>
          </cell>
          <cell r="CJ2" t="str">
            <v>1 Schumacher Road, Wingfield, SA 5013</v>
          </cell>
          <cell r="CS2" t="str">
            <v>Cnr Hines road and Wingfield road, Wingfield</v>
          </cell>
          <cell r="CT2" t="str">
            <v>203-215 Hanson Road, Athol Park, SA</v>
          </cell>
          <cell r="CW2" t="str">
            <v>Level 8, 71 Walker St, North Sydney NSW 2060</v>
          </cell>
          <cell r="DB2" t="str">
            <v>14 Brighton Drive
Naracoorte SA 5271 – 08 87 624719 – admin@envirotec.net.au</v>
          </cell>
          <cell r="DC2" t="str">
            <v>PO Box 1384, Naracoorte SA  5271</v>
          </cell>
          <cell r="DT2" t="str">
            <v>22 Flour mill road, Whites Valle</v>
          </cell>
          <cell r="DY2" t="str">
            <v>PO Box 363 Port Lincoln</v>
          </cell>
          <cell r="EI2" t="str">
            <v>77 Grenfell St, Adelaide</v>
          </cell>
          <cell r="EM2" t="str">
            <v>250 Victoria Square, Adelaide, SA 5000</v>
          </cell>
          <cell r="EO2" t="str">
            <v>1069 South Road, Melrose Park, SA, 5039</v>
          </cell>
          <cell r="ER2" t="str">
            <v>PO Box 39, Rosewater East</v>
          </cell>
          <cell r="ET2" t="str">
            <v>133 Cormack Rd Wingfield</v>
          </cell>
          <cell r="EV2" t="str">
            <v>c/- 32 GILBERSTON RD, LAVERTON NORTH VIC 3026</v>
          </cell>
          <cell r="EZ2" t="str">
            <v>PO Box 2414
McLaren Vale SA  5171</v>
          </cell>
          <cell r="FD2" t="str">
            <v>16a Duncan Court
Ottoway, S.A. 5013</v>
          </cell>
          <cell r="FH2" t="str">
            <v>PO Box 78
Nuriootpa SA 5355</v>
          </cell>
          <cell r="FO2" t="str">
            <v>33 Francis street, Port Adelaide</v>
          </cell>
          <cell r="FY2" t="str">
            <v>167 Bratten Rd Tumby Bay</v>
          </cell>
          <cell r="GD2" t="str">
            <v>p.o box 587 ceduna 5690</v>
          </cell>
          <cell r="GU2" t="str">
            <v>2 Matson Court, Gillman SA 5013</v>
          </cell>
          <cell r="HD2" t="str">
            <v>71-75 Woomera Avenue, Edinburgh Park SA 5113</v>
          </cell>
          <cell r="HE2" t="str">
            <v>Level 9 (West) Riverside Centre, North Terrace, Adelaide SA 5000</v>
          </cell>
          <cell r="HH2" t="str">
            <v>126 Churchill Road North Dry Creek</v>
          </cell>
          <cell r="HI2" t="str">
            <v>Po Box 1008 Willaston SA</v>
          </cell>
          <cell r="HJ2" t="str">
            <v>OneFortyOne Wood Products - 170 Jubilee Highway East Mount Gambier SA 5290</v>
          </cell>
        </row>
        <row r="3">
          <cell r="A3">
            <v>1</v>
          </cell>
          <cell r="B3" t="str">
            <v xml:space="preserve"> Please also include the location(s) of your main facility(ies) for re-processing or handling of materials.</v>
          </cell>
          <cell r="AB3" t="str">
            <v>Goolwa, Kangaroo Island,
Strathalbyn, Yankalilla</v>
          </cell>
          <cell r="BH3" t="str">
            <v>76 Daws Rd, Edwardstown, 59 Oaklands Rd Somerton Park</v>
          </cell>
          <cell r="BM3" t="str">
            <v>Wingfield Asphalt Plant - Corner of Grand Junction Road and Rosberg Road, Wingfield, South Australia</v>
          </cell>
          <cell r="CC3" t="str">
            <v>1 Eucalypt Drive, Mount Gambier</v>
          </cell>
          <cell r="CS3" t="str">
            <v>ResourceCo Group - Lonsdale, Wingfield
Southern Waste ResourceCo - McLaren Vale, Tatachilla, Hartley
Tyrecycle - Lonsdale</v>
          </cell>
          <cell r="CT3" t="str">
            <v>Wingfield and Keith</v>
          </cell>
          <cell r="CW3" t="str">
            <v>Brisbane, Sydney and Melbourne</v>
          </cell>
          <cell r="DB3" t="str">
            <v xml:space="preserve">Naracoorte Waste Transfer Station, Blackwell Road Naracoorte </v>
          </cell>
          <cell r="DC3" t="str">
            <v>16 Brighton Drive, Naracoorte SA  5271</v>
          </cell>
          <cell r="DG3" t="str">
            <v>Albury, Vic</v>
          </cell>
          <cell r="DJ3" t="str">
            <v>625 Port Road, 
West Croydon, SA 5008</v>
          </cell>
          <cell r="DT3" t="str">
            <v>Brinkley, Dublin</v>
          </cell>
          <cell r="DY3" t="str">
            <v>416 Western Approach road, Port Lincoln</v>
          </cell>
          <cell r="EI3" t="str">
            <v>We have 2 licenced waste recycling depots at Waterloo Corner and Bolivar, which have been used for storing spoil from various DPTI projects for future use on the Northern Connector project. These sites are now incorporated into the project site, most of the material has been used for the project and DPTI has initiated the closure of the depots.</v>
          </cell>
          <cell r="EM3" t="str">
            <v xml:space="preserve">Bolivar Wastewater Treatment Plant, Hodgson Rd, BOLIVAR 5110 SA
Glenelg Wastewater Treatment Plant, Andersen Ave, WEST BEACH 5024 SA 
Bird in Hand Wastewater Treatment Plant, Bird in Hand Road, WOODSIDE 5244 SA
Finger Point Wastewater Treatment Plant, </v>
          </cell>
          <cell r="ER3" t="str">
            <v>North Arm Rd, Wingfield</v>
          </cell>
          <cell r="ET3" t="str">
            <v>48 Bowyer Rd Wingfield</v>
          </cell>
          <cell r="EV3" t="str">
            <v>1 MAGNA COURT, LONSDALE SA 5160 
2 FRANCIS ROAD, WINGFIELD SA 5013</v>
          </cell>
          <cell r="EZ3" t="str">
            <v>Southern Recycling Centre, 112 Bakewell Drive, Seaford Heights   SA   5169</v>
          </cell>
          <cell r="FH3" t="str">
            <v>20 Samuel Road
Nuriootpa SA 5355
And a secondary processing site at:
Winke Road, Berri SA 5343</v>
          </cell>
          <cell r="FO3" t="str">
            <v xml:space="preserve">Wingfield Waste and Recycling Centre, Wingfield (transfer station) 
Liquids and Industrial Services, Wingfield (liquids treatment plant), Lonsdale (transfer station and 
green waste collection site), Welland (Transfer station) 
Riverland Resource Recovery Facility, Monash (transfer station) </v>
          </cell>
          <cell r="FS3" t="str">
            <v>Will be closing at end of the financial year. Changing hands and may build another site. Veolia buying it out.</v>
          </cell>
          <cell r="GD3" t="str">
            <v>336 trading stock route Ceduna 5690</v>
          </cell>
          <cell r="GS3" t="str">
            <v xml:space="preserve">Wandilo SA
Ordish Road, Dandenong Sth, Vic
Coppers Street, Epping, Vic </v>
          </cell>
          <cell r="HE3" t="str">
            <v>Grand Trunkway, Port Adelaide</v>
          </cell>
          <cell r="HI3" t="str">
            <v>Lot 101 Kelly Road Willaston SA</v>
          </cell>
        </row>
        <row r="4">
          <cell r="A4">
            <v>2</v>
          </cell>
          <cell r="B4" t="str">
            <v>Are you happy for your company to be recognised in the report as participating in the 2017-18 SA Recycling Activity survey?  Yes/No</v>
          </cell>
          <cell r="K4" t="str">
            <v>Yes</v>
          </cell>
          <cell r="W4" t="str">
            <v>Yes</v>
          </cell>
          <cell r="AB4" t="str">
            <v>Yes</v>
          </cell>
          <cell r="AD4" t="str">
            <v>No</v>
          </cell>
          <cell r="AI4" t="str">
            <v>Yes</v>
          </cell>
          <cell r="AN4" t="str">
            <v>No</v>
          </cell>
          <cell r="AV4" t="str">
            <v>Yes</v>
          </cell>
          <cell r="BE4" t="str">
            <v>Yes</v>
          </cell>
          <cell r="BH4" t="str">
            <v>No</v>
          </cell>
          <cell r="BJ4" t="str">
            <v>No</v>
          </cell>
          <cell r="BM4" t="str">
            <v>Yes</v>
          </cell>
          <cell r="BU4" t="str">
            <v>No</v>
          </cell>
          <cell r="BV4" t="str">
            <v>Yes</v>
          </cell>
          <cell r="BY4" t="str">
            <v>Yes</v>
          </cell>
          <cell r="CB4" t="str">
            <v>Yes</v>
          </cell>
          <cell r="CC4" t="str">
            <v>Yes</v>
          </cell>
          <cell r="CJ4" t="str">
            <v>Yes</v>
          </cell>
          <cell r="CK4" t="str">
            <v>Yes</v>
          </cell>
          <cell r="CS4" t="str">
            <v>Yes</v>
          </cell>
          <cell r="CT4" t="str">
            <v>Yes, but not our data</v>
          </cell>
          <cell r="CW4" t="str">
            <v>Yes</v>
          </cell>
          <cell r="DB4" t="str">
            <v>No</v>
          </cell>
          <cell r="DC4" t="str">
            <v>Yes</v>
          </cell>
          <cell r="DF4" t="str">
            <v>Yes</v>
          </cell>
          <cell r="DG4" t="str">
            <v>Yes</v>
          </cell>
          <cell r="DI4" t="str">
            <v>Yes</v>
          </cell>
          <cell r="DJ4" t="str">
            <v>Yes</v>
          </cell>
          <cell r="DL4" t="str">
            <v>Yes</v>
          </cell>
          <cell r="DP4" t="str">
            <v>Yes</v>
          </cell>
          <cell r="DT4" t="str">
            <v>Yes</v>
          </cell>
          <cell r="DY4" t="str">
            <v>No</v>
          </cell>
          <cell r="EH4" t="str">
            <v>Yes</v>
          </cell>
          <cell r="EI4" t="str">
            <v>Yes</v>
          </cell>
          <cell r="EJ4" t="str">
            <v>Yes</v>
          </cell>
          <cell r="EM4" t="str">
            <v>Yes</v>
          </cell>
          <cell r="EO4" t="str">
            <v>Yes</v>
          </cell>
          <cell r="ER4" t="str">
            <v>Yes</v>
          </cell>
          <cell r="ET4" t="str">
            <v>Yes</v>
          </cell>
          <cell r="EV4" t="str">
            <v>Yes</v>
          </cell>
          <cell r="EZ4" t="str">
            <v>Yes</v>
          </cell>
          <cell r="FD4" t="str">
            <v>Yes</v>
          </cell>
          <cell r="FG4" t="str">
            <v>Yes</v>
          </cell>
          <cell r="FH4" t="str">
            <v>Yes</v>
          </cell>
          <cell r="FO4" t="str">
            <v>Yes</v>
          </cell>
          <cell r="FS4" t="str">
            <v>Yes</v>
          </cell>
          <cell r="FY4" t="str">
            <v>Yes</v>
          </cell>
          <cell r="GD4" t="str">
            <v>Yes</v>
          </cell>
          <cell r="GF4" t="str">
            <v>Yes</v>
          </cell>
          <cell r="GS4" t="str">
            <v>Yes</v>
          </cell>
          <cell r="GU4" t="str">
            <v>Yes</v>
          </cell>
          <cell r="GY4" t="str">
            <v>Yes</v>
          </cell>
          <cell r="HD4" t="str">
            <v>Yes</v>
          </cell>
          <cell r="HE4" t="str">
            <v>Yes</v>
          </cell>
          <cell r="HH4" t="str">
            <v>No</v>
          </cell>
          <cell r="HI4" t="str">
            <v>Yes</v>
          </cell>
          <cell r="HJ4" t="str">
            <v>Yes</v>
          </cell>
        </row>
        <row r="5">
          <cell r="A5">
            <v>3</v>
          </cell>
          <cell r="B5" t="str">
            <v xml:space="preserve">How many people (FTEs) are directly employed by your company/organisation’s site(s) or operations(s) associated with material collection, resource recovery and/or recycling, i.e. permanent or casual staff, individual contractors?  </v>
          </cell>
          <cell r="K5" t="str">
            <v>4-5 (maybe a little bit more)</v>
          </cell>
          <cell r="O5">
            <v>13</v>
          </cell>
          <cell r="W5">
            <v>29</v>
          </cell>
          <cell r="X5">
            <v>1</v>
          </cell>
          <cell r="AB5">
            <v>32</v>
          </cell>
          <cell r="AD5" t="str">
            <v>Up to 30</v>
          </cell>
          <cell r="AI5">
            <v>55</v>
          </cell>
          <cell r="AN5" t="str">
            <v>NA</v>
          </cell>
          <cell r="AV5">
            <v>4</v>
          </cell>
          <cell r="BE5">
            <v>1</v>
          </cell>
          <cell r="BH5" t="str">
            <v>30 Casual, 14 Full time</v>
          </cell>
          <cell r="BJ5">
            <v>19</v>
          </cell>
          <cell r="BM5" t="str">
            <v>Approximately 15 (some seasonal variation)</v>
          </cell>
          <cell r="BU5">
            <v>7</v>
          </cell>
          <cell r="BV5">
            <v>2</v>
          </cell>
          <cell r="BY5">
            <v>1</v>
          </cell>
          <cell r="CB5">
            <v>8</v>
          </cell>
          <cell r="CC5">
            <v>20</v>
          </cell>
          <cell r="CJ5" t="str">
            <v>3 x cleaners
1 x Resource Manager
40% of the time of Quality / Environmental Manager
Remondis waste contractor 2 x drivers allocated to site.</v>
          </cell>
          <cell r="CS5">
            <v>138</v>
          </cell>
          <cell r="CT5">
            <v>125</v>
          </cell>
          <cell r="CW5" t="str">
            <v>AMTA (7 staff), dismantling and recycling operations are outsourced to TES</v>
          </cell>
          <cell r="DB5" t="str">
            <v>4 fulltime, 1 casual</v>
          </cell>
          <cell r="DC5">
            <v>4</v>
          </cell>
          <cell r="DF5">
            <v>14</v>
          </cell>
          <cell r="DG5" t="str">
            <v>Direct -15
Contractors - 15</v>
          </cell>
          <cell r="DI5" t="str">
            <v xml:space="preserve">1 FTE to oversee recycling
60 people involved with managing recycling residues </v>
          </cell>
          <cell r="DL5">
            <v>49</v>
          </cell>
          <cell r="DP5" t="str">
            <v>Orora - 5
8 (Wingfield recyclers)
3 Drivers</v>
          </cell>
          <cell r="DT5">
            <v>60</v>
          </cell>
          <cell r="DY5">
            <v>0.5</v>
          </cell>
          <cell r="EI5" t="str">
            <v xml:space="preserve">None – contractors are engaged to deliver most of DPTIs projects. </v>
          </cell>
          <cell r="EJ5">
            <v>9</v>
          </cell>
          <cell r="EM5" t="str">
            <v>15-20</v>
          </cell>
          <cell r="EO5" t="str">
            <v>1100 FTE across 5 states and territories</v>
          </cell>
          <cell r="ER5" t="str">
            <v>90 direct FTE
100s part time contractors
7 Labour hire</v>
          </cell>
          <cell r="ET5">
            <v>122</v>
          </cell>
          <cell r="EV5">
            <v>10</v>
          </cell>
          <cell r="EZ5">
            <v>11</v>
          </cell>
          <cell r="FD5">
            <v>14</v>
          </cell>
          <cell r="FG5">
            <v>15</v>
          </cell>
          <cell r="FH5">
            <v>68</v>
          </cell>
          <cell r="FO5" t="str">
            <v>Approx 100 at Port Adelaide depot</v>
          </cell>
          <cell r="FS5" t="str">
            <v xml:space="preserve">2 - Tim + Caitlin Bus (Council workers) Caitlin weighbridge officer. 5 skilled labour hire. 4 on week days. 6 FTEs per site. Up to 7.  See last year. </v>
          </cell>
          <cell r="FY5">
            <v>0.5</v>
          </cell>
          <cell r="GD5" t="str">
            <v>5 Permanent, 2 Casual</v>
          </cell>
          <cell r="GF5">
            <v>6</v>
          </cell>
          <cell r="GS5">
            <v>75</v>
          </cell>
          <cell r="GU5">
            <v>6</v>
          </cell>
          <cell r="GY5">
            <v>8</v>
          </cell>
          <cell r="HD5">
            <v>22</v>
          </cell>
          <cell r="HE5">
            <v>2</v>
          </cell>
          <cell r="HH5">
            <v>2.5</v>
          </cell>
          <cell r="HI5">
            <v>30</v>
          </cell>
          <cell r="HJ5">
            <v>300</v>
          </cell>
        </row>
        <row r="6">
          <cell r="A6">
            <v>4</v>
          </cell>
          <cell r="B6" t="str">
            <v>Approx. commodity price (if sold as a commodity) or approx. retail market price per tonne in 2017-18 (from Table 1 in survey)</v>
          </cell>
          <cell r="C6" t="str">
            <v>MASONRY</v>
          </cell>
        </row>
        <row r="7">
          <cell r="D7" t="str">
            <v>Asphalt</v>
          </cell>
          <cell r="BM7" t="str">
            <v>30-40</v>
          </cell>
          <cell r="BY7">
            <v>45</v>
          </cell>
        </row>
        <row r="8">
          <cell r="D8" t="str">
            <v>Bricks</v>
          </cell>
        </row>
        <row r="9">
          <cell r="D9" t="str">
            <v>Concrete</v>
          </cell>
        </row>
        <row r="10">
          <cell r="D10" t="str">
            <v>Plasterboard</v>
          </cell>
          <cell r="DT10">
            <v>40</v>
          </cell>
        </row>
        <row r="11">
          <cell r="D11" t="str">
            <v>Clay, fines, rubble &amp; soil - "Clean Fill"</v>
          </cell>
          <cell r="HE11">
            <v>2</v>
          </cell>
        </row>
        <row r="12">
          <cell r="D12" t="str">
            <v xml:space="preserve">Clay, fines, rubble &amp; soil - "Contaminated Fill" </v>
          </cell>
          <cell r="HE12" t="str">
            <v>0-2</v>
          </cell>
        </row>
        <row r="13">
          <cell r="C13" t="str">
            <v>METALS</v>
          </cell>
        </row>
        <row r="14">
          <cell r="D14" t="str">
            <v>Steel</v>
          </cell>
          <cell r="BJ14">
            <v>200</v>
          </cell>
          <cell r="CJ14">
            <v>450</v>
          </cell>
          <cell r="DB14">
            <v>100</v>
          </cell>
          <cell r="ER14">
            <v>316</v>
          </cell>
          <cell r="FD14">
            <v>200</v>
          </cell>
          <cell r="FS14">
            <v>50</v>
          </cell>
          <cell r="FY14">
            <v>50</v>
          </cell>
          <cell r="GD14">
            <v>100</v>
          </cell>
          <cell r="HD14">
            <v>200</v>
          </cell>
          <cell r="HI14" t="str">
            <v>~186</v>
          </cell>
        </row>
        <row r="15">
          <cell r="D15" t="str">
            <v>Aluminium</v>
          </cell>
          <cell r="FD15">
            <v>1770</v>
          </cell>
          <cell r="HD15">
            <v>200</v>
          </cell>
        </row>
        <row r="16">
          <cell r="D16" t="str">
            <v>Non-ferrous metals</v>
          </cell>
          <cell r="DI16" t="str">
            <v>Copper $6,000 t
Lead $2,000 t
Zinc $3,000 t</v>
          </cell>
          <cell r="ER16" t="str">
            <v>Aluminium up 15%, Copper up 20%, Nickel up 30%</v>
          </cell>
          <cell r="GD16">
            <v>200</v>
          </cell>
        </row>
        <row r="17">
          <cell r="C17" t="str">
            <v>ORGANICS</v>
          </cell>
        </row>
        <row r="18">
          <cell r="D18" t="str">
            <v>Food Organics</v>
          </cell>
          <cell r="AD18">
            <v>30</v>
          </cell>
          <cell r="DT18" t="str">
            <v>$40 tonne compost</v>
          </cell>
        </row>
        <row r="19">
          <cell r="D19" t="str">
            <v>Garden Organics</v>
          </cell>
          <cell r="FY19">
            <v>0</v>
          </cell>
        </row>
        <row r="20">
          <cell r="D20" t="str">
            <v>Timber</v>
          </cell>
          <cell r="DT20" t="str">
            <v>$30/40m3 mulch</v>
          </cell>
        </row>
        <row r="21">
          <cell r="D21" t="str">
            <v>Meat Rendering</v>
          </cell>
          <cell r="FG21" t="str">
            <v>Rendering Finished products:
Tallow = $765/tonne, Ovine Meat meal = $1840-2900/tonne Blood Meal = $900/tonne</v>
          </cell>
        </row>
        <row r="22">
          <cell r="D22" t="str">
            <v>Waste Grease &amp; Fat</v>
          </cell>
        </row>
        <row r="23">
          <cell r="D23" t="str">
            <v>Waste Sludge &amp; Bio-solids</v>
          </cell>
        </row>
        <row r="24">
          <cell r="D24" t="str">
            <v>Organics - Other</v>
          </cell>
          <cell r="DT24" t="str">
            <v>$10/15 tonne landscape soil</v>
          </cell>
          <cell r="FG24" t="str">
            <v>Finished Compost approx.. $45/m3
Unprocessed Paunch approx. $10/tonne</v>
          </cell>
        </row>
        <row r="25">
          <cell r="C25" t="str">
            <v>CARDBOARD AND PAPER</v>
          </cell>
        </row>
        <row r="26">
          <cell r="D26" t="str">
            <v>Cardboard &amp; waxed cardboard</v>
          </cell>
          <cell r="DP26">
            <v>240</v>
          </cell>
          <cell r="ET26">
            <v>140</v>
          </cell>
          <cell r="FY26">
            <v>0</v>
          </cell>
          <cell r="GD26">
            <v>90</v>
          </cell>
          <cell r="GY26">
            <v>200</v>
          </cell>
          <cell r="HI26" t="str">
            <v>~83</v>
          </cell>
        </row>
        <row r="27">
          <cell r="D27" t="str">
            <v>Liquid Paperboard</v>
          </cell>
          <cell r="FD27">
            <v>90</v>
          </cell>
        </row>
        <row r="28">
          <cell r="D28" t="str">
            <v>Magazines</v>
          </cell>
          <cell r="DP28">
            <v>190</v>
          </cell>
        </row>
        <row r="29">
          <cell r="D29" t="str">
            <v>Newsprint</v>
          </cell>
          <cell r="DP29">
            <v>190</v>
          </cell>
        </row>
        <row r="30">
          <cell r="D30" t="str">
            <v>Phonebooks</v>
          </cell>
        </row>
        <row r="31">
          <cell r="D31" t="str">
            <v>Printing &amp; Writing Paper</v>
          </cell>
          <cell r="DP31">
            <v>275</v>
          </cell>
        </row>
        <row r="32">
          <cell r="C32" t="str">
            <v>PLASTICS</v>
          </cell>
          <cell r="W32">
            <v>1200</v>
          </cell>
        </row>
        <row r="33">
          <cell r="D33" t="str">
            <v>Polyethylene terephthalate [PIC 1]</v>
          </cell>
          <cell r="FD33">
            <v>460</v>
          </cell>
          <cell r="GY33">
            <v>200</v>
          </cell>
          <cell r="HJ33">
            <v>300</v>
          </cell>
        </row>
        <row r="34">
          <cell r="D34" t="str">
            <v>High density polyethylene [PIC 2]</v>
          </cell>
          <cell r="FD34">
            <v>365</v>
          </cell>
          <cell r="GY34">
            <v>400</v>
          </cell>
        </row>
        <row r="35">
          <cell r="D35" t="str">
            <v>Polyvinyl chloride [PIC 3]</v>
          </cell>
          <cell r="GY35">
            <v>100</v>
          </cell>
        </row>
        <row r="36">
          <cell r="D36" t="str">
            <v>Low density polyethylene [PIC 4]</v>
          </cell>
          <cell r="GY36">
            <v>300</v>
          </cell>
        </row>
        <row r="37">
          <cell r="D37" t="str">
            <v>Polypropylene [PIC 5]</v>
          </cell>
          <cell r="GY37">
            <v>200</v>
          </cell>
        </row>
        <row r="38">
          <cell r="D38" t="str">
            <v>Polystyrene [PIC 6]</v>
          </cell>
          <cell r="BE38" t="str">
            <v>$350-$400</v>
          </cell>
          <cell r="GY38" t="str">
            <v>600-700</v>
          </cell>
        </row>
        <row r="39">
          <cell r="D39" t="str">
            <v>Mixed &amp;/or Other plastics [PIC 7]</v>
          </cell>
          <cell r="ET39">
            <v>65</v>
          </cell>
          <cell r="GD39">
            <v>10</v>
          </cell>
          <cell r="GY39" t="str">
            <v>20-40</v>
          </cell>
        </row>
        <row r="40">
          <cell r="C40" t="str">
            <v>GLASS</v>
          </cell>
        </row>
        <row r="41">
          <cell r="D41" t="str">
            <v>Glass</v>
          </cell>
          <cell r="DJ41">
            <v>91</v>
          </cell>
          <cell r="ET41">
            <v>80</v>
          </cell>
          <cell r="GD41">
            <v>80</v>
          </cell>
          <cell r="HD41">
            <v>100</v>
          </cell>
        </row>
        <row r="42">
          <cell r="C42" t="str">
            <v>ELECTRONIC WASTE</v>
          </cell>
        </row>
        <row r="43">
          <cell r="D43" t="str">
            <v>Printer cartridges</v>
          </cell>
        </row>
        <row r="44">
          <cell r="D44" t="str">
            <v>Compact fluorescent lamps</v>
          </cell>
        </row>
        <row r="45">
          <cell r="D45" t="str">
            <v>Batteries</v>
          </cell>
        </row>
        <row r="46">
          <cell r="D46" t="str">
            <v>Computers</v>
          </cell>
        </row>
        <row r="47">
          <cell r="D47" t="str">
            <v>Televisions / Monitors</v>
          </cell>
        </row>
        <row r="48">
          <cell r="D48" t="str">
            <v>Mobile phones</v>
          </cell>
        </row>
        <row r="49">
          <cell r="D49" t="str">
            <v>Other e-waste</v>
          </cell>
        </row>
        <row r="50">
          <cell r="C50" t="str">
            <v>ALTERNATIVE FUELS</v>
          </cell>
        </row>
        <row r="51">
          <cell r="D51" t="str">
            <v>Alternative Fuel</v>
          </cell>
        </row>
        <row r="52">
          <cell r="C52" t="str">
            <v>OTHER MATERIALS</v>
          </cell>
        </row>
        <row r="53">
          <cell r="D53" t="str">
            <v>Fly ash</v>
          </cell>
        </row>
        <row r="54">
          <cell r="D54" t="str">
            <v>Foundry sands</v>
          </cell>
        </row>
        <row r="55">
          <cell r="D55" t="str">
            <v>Leather &amp; textiles</v>
          </cell>
        </row>
        <row r="56">
          <cell r="D56" t="str">
            <v>Tyres &amp; other rubber</v>
          </cell>
          <cell r="BY56">
            <v>750</v>
          </cell>
        </row>
        <row r="57">
          <cell r="C57" t="str">
            <v>RE-USE MATERIALS</v>
          </cell>
        </row>
        <row r="58">
          <cell r="D58" t="str">
            <v>Auto-Parts</v>
          </cell>
        </row>
        <row r="59">
          <cell r="D59" t="str">
            <v>Home Furnishings &amp; Goods</v>
          </cell>
          <cell r="EO59" t="str">
            <v>~$25,000/tonne (Retail)
~$200/tonne (Recycled)</v>
          </cell>
        </row>
        <row r="60">
          <cell r="D60" t="str">
            <v xml:space="preserve">Clothes </v>
          </cell>
          <cell r="EO60" t="str">
            <v>~$15,000/tonne (Retail)</v>
          </cell>
        </row>
        <row r="61">
          <cell r="D61" t="str">
            <v>Food Products</v>
          </cell>
        </row>
        <row r="62">
          <cell r="C62" t="str">
            <v>OTHER</v>
          </cell>
          <cell r="DB62" t="str">
            <v>.11 c/L</v>
          </cell>
        </row>
        <row r="63">
          <cell r="A63">
            <v>5</v>
          </cell>
          <cell r="B63" t="str">
            <v>What is method for measuring of the data provided in Table 1 (weighbridge or other. If other, please specify)</v>
          </cell>
          <cell r="K63" t="str">
            <v>Weighbridge</v>
          </cell>
          <cell r="O63" t="str">
            <v>Assumed weighbridge</v>
          </cell>
          <cell r="W63" t="str">
            <v>Supplied by Suppliers</v>
          </cell>
          <cell r="AB63" t="str">
            <v>Weighbridge</v>
          </cell>
          <cell r="AD63" t="str">
            <v>Weighbridge</v>
          </cell>
          <cell r="AI63" t="str">
            <v>Weighbridge</v>
          </cell>
          <cell r="AN63" t="str">
            <v>Weighbridge</v>
          </cell>
          <cell r="AV63" t="str">
            <v>Weighbridge</v>
          </cell>
          <cell r="BH63" t="str">
            <v>Weighbridge</v>
          </cell>
          <cell r="BJ63" t="str">
            <v>Weighbridge and Floor Scales</v>
          </cell>
          <cell r="BM63" t="str">
            <v>Weigh bridge for incoming and Load cell and computer read out for usage</v>
          </cell>
          <cell r="BP63" t="str">
            <v>Assume weighbridge or scales</v>
          </cell>
          <cell r="BU63" t="str">
            <v>Weighbridge</v>
          </cell>
          <cell r="BV63" t="str">
            <v>Weighbridge, machine loading and product specification</v>
          </cell>
          <cell r="BY63" t="str">
            <v>Weighbridge</v>
          </cell>
          <cell r="CC63" t="str">
            <v>Weighbridge</v>
          </cell>
          <cell r="CJ63" t="str">
            <v>Weighbridge</v>
          </cell>
          <cell r="CS63" t="str">
            <v>Weighbridge
Tyres are counted manually</v>
          </cell>
          <cell r="CT63" t="str">
            <v>Weighbridge</v>
          </cell>
          <cell r="CW63" t="str">
            <v>Scales - Scales at TES are calibrated regularly to ensure accuracy</v>
          </cell>
          <cell r="DB63" t="str">
            <v>Weighbridge</v>
          </cell>
          <cell r="DC63" t="str">
            <v>Weighbridge</v>
          </cell>
          <cell r="DF63" t="str">
            <v>Weighbridge</v>
          </cell>
          <cell r="DG63" t="str">
            <v>Weighbridge</v>
          </cell>
          <cell r="DI63" t="str">
            <v>Weighbridge</v>
          </cell>
          <cell r="DJ63" t="str">
            <v>Weighbridge</v>
          </cell>
          <cell r="DL63" t="str">
            <v>Weighbridge</v>
          </cell>
          <cell r="DP63" t="str">
            <v>Weighbridge</v>
          </cell>
          <cell r="DT63" t="str">
            <v>Weighbridge</v>
          </cell>
          <cell r="DY63" t="str">
            <v>Weighbridge</v>
          </cell>
          <cell r="EI63" t="str">
            <v>the data represents cumulative amounts reported by environmental management staff on DPTI’s large projects and reseal program. Small projects generally don’t report this data.</v>
          </cell>
          <cell r="EJ63" t="str">
            <v>Standard weight for drums (~17kg)</v>
          </cell>
          <cell r="EO63" t="str">
            <v>Conversion of units sold to tonnage by audited figures (Reuse)</v>
          </cell>
          <cell r="ER63" t="str">
            <v>Weighbridge</v>
          </cell>
          <cell r="ET63" t="str">
            <v>Weighbridge</v>
          </cell>
          <cell r="EV63" t="str">
            <v>Weighbridge</v>
          </cell>
          <cell r="EZ63" t="str">
            <v>Weighbridge</v>
          </cell>
          <cell r="FD63" t="str">
            <v>Floor scales</v>
          </cell>
          <cell r="FG63" t="str">
            <v>Most over weighbridge</v>
          </cell>
          <cell r="FH63" t="str">
            <v>Weighbridge and tank dipping</v>
          </cell>
          <cell r="FO63" t="str">
            <v>Weighbridge</v>
          </cell>
          <cell r="FS63" t="str">
            <v>Weoghrbidge - Trucks and trailers over 8x5
Trailer size</v>
          </cell>
          <cell r="FY63" t="str">
            <v>Visually by m3</v>
          </cell>
          <cell r="GD63" t="str">
            <v>Weights</v>
          </cell>
          <cell r="GF63" t="str">
            <v>Based on standard weight of bin</v>
          </cell>
          <cell r="GS63" t="str">
            <v>Weighbridge and manual dockets</v>
          </cell>
          <cell r="GU63" t="str">
            <v>Weighbridge</v>
          </cell>
          <cell r="GV63" t="str">
            <v>Weighbridge</v>
          </cell>
          <cell r="GW63" t="str">
            <v>Weighbridge</v>
          </cell>
          <cell r="GY63" t="str">
            <v>Weighbridge</v>
          </cell>
          <cell r="HD63" t="str">
            <v>Weighbridge and sales docket</v>
          </cell>
          <cell r="HE63" t="str">
            <v>weighbridge for IWS, truck counting (approximate net weights are known for each truck type, so can be multiplied by truck numbers) for WF</v>
          </cell>
          <cell r="HH63" t="str">
            <v>Weighbridge</v>
          </cell>
          <cell r="HI63" t="str">
            <v>Weighbridge</v>
          </cell>
        </row>
        <row r="64">
          <cell r="A64" t="str">
            <v>5B</v>
          </cell>
          <cell r="B64" t="str">
            <v>Weighbridge catorised for data analysis (manual entry required, either Weighbridge (definitely weighbridge for all materials), Confirmation required (if unsure or some materials weighbridge, others not), or No (not weighbridge data)</v>
          </cell>
          <cell r="K64" t="str">
            <v>Weighbridge</v>
          </cell>
          <cell r="O64" t="str">
            <v>Weighbridge</v>
          </cell>
          <cell r="W64" t="str">
            <v>No</v>
          </cell>
          <cell r="AB64" t="str">
            <v>Weighbridge</v>
          </cell>
          <cell r="AD64" t="str">
            <v>Weighbridge</v>
          </cell>
          <cell r="AI64" t="str">
            <v>Weighbridge</v>
          </cell>
          <cell r="AN64" t="str">
            <v>Weighbridge</v>
          </cell>
          <cell r="AV64" t="str">
            <v>Weighbridge</v>
          </cell>
          <cell r="BE64" t="str">
            <v>No</v>
          </cell>
          <cell r="BH64" t="str">
            <v>Weighbridge</v>
          </cell>
          <cell r="BJ64" t="str">
            <v>Weighbridge</v>
          </cell>
          <cell r="BM64" t="str">
            <v>Weighbridge</v>
          </cell>
          <cell r="BP64" t="str">
            <v>Weighbridge</v>
          </cell>
          <cell r="BU64" t="str">
            <v>Weighbridge</v>
          </cell>
          <cell r="BV64" t="str">
            <v>No</v>
          </cell>
          <cell r="BY64" t="str">
            <v>Weighbridge</v>
          </cell>
          <cell r="CC64" t="str">
            <v>Weighbridge</v>
          </cell>
          <cell r="CJ64" t="str">
            <v>Weighbridge</v>
          </cell>
          <cell r="CS64" t="str">
            <v>Confirmation required</v>
          </cell>
          <cell r="CT64" t="str">
            <v>Weighbridge</v>
          </cell>
          <cell r="CW64" t="str">
            <v>Weighbridge</v>
          </cell>
          <cell r="DB64" t="str">
            <v>Weighbridge</v>
          </cell>
          <cell r="DC64" t="str">
            <v>Weighbridge</v>
          </cell>
          <cell r="DF64" t="str">
            <v>Weighbridge</v>
          </cell>
          <cell r="DG64" t="str">
            <v>Weighbridge</v>
          </cell>
          <cell r="DI64" t="str">
            <v>Weighbridge</v>
          </cell>
          <cell r="DJ64" t="str">
            <v>Weighbridge</v>
          </cell>
          <cell r="DL64" t="str">
            <v>Weighbridge</v>
          </cell>
          <cell r="DP64" t="str">
            <v>Weighbridge</v>
          </cell>
          <cell r="DT64" t="str">
            <v>Weighbridge</v>
          </cell>
          <cell r="DY64" t="str">
            <v>Weighbridge</v>
          </cell>
          <cell r="EI64" t="str">
            <v>No</v>
          </cell>
          <cell r="EJ64" t="str">
            <v>No</v>
          </cell>
          <cell r="EM64" t="str">
            <v>No</v>
          </cell>
          <cell r="EO64" t="str">
            <v>No</v>
          </cell>
          <cell r="ER64" t="str">
            <v>Weighbridge</v>
          </cell>
          <cell r="ET64" t="str">
            <v>Weighbridge</v>
          </cell>
          <cell r="EV64" t="str">
            <v>Weighbridge</v>
          </cell>
          <cell r="EZ64" t="str">
            <v>Weighbridge</v>
          </cell>
          <cell r="FD64" t="str">
            <v>Weighbridge</v>
          </cell>
          <cell r="FG64" t="str">
            <v>Weighbridge</v>
          </cell>
          <cell r="FH64" t="str">
            <v>Weighbridge</v>
          </cell>
          <cell r="FO64" t="str">
            <v>Weighbridge</v>
          </cell>
          <cell r="FS64" t="str">
            <v>Confirmation required</v>
          </cell>
          <cell r="FY64" t="str">
            <v>No</v>
          </cell>
          <cell r="GD64" t="str">
            <v>Weighbridge</v>
          </cell>
          <cell r="GF64" t="str">
            <v>No</v>
          </cell>
          <cell r="GS64" t="str">
            <v>Weighbridge</v>
          </cell>
          <cell r="GU64" t="str">
            <v>Weighbridge</v>
          </cell>
          <cell r="GV64" t="str">
            <v>Weighbridge</v>
          </cell>
          <cell r="GW64" t="str">
            <v>Weighbridge</v>
          </cell>
          <cell r="GY64" t="str">
            <v>Weighbridge</v>
          </cell>
          <cell r="HD64" t="str">
            <v>Weighbridge</v>
          </cell>
          <cell r="HE64" t="str">
            <v>Confirmation required</v>
          </cell>
          <cell r="HH64" t="str">
            <v>Weighbridge</v>
          </cell>
          <cell r="HI64" t="str">
            <v>Weighbridge</v>
          </cell>
          <cell r="HJ64" t="str">
            <v>No</v>
          </cell>
        </row>
        <row r="65">
          <cell r="A65">
            <v>6</v>
          </cell>
          <cell r="B65" t="str">
            <v>Did you receive any waste from interstate or overseas sources that was reprocessed at your site? If so, please list materials received (see Table 2) and state volumes and sources.</v>
          </cell>
          <cell r="K65" t="str">
            <v>Yes, and entered in interstate data spreadsheet</v>
          </cell>
          <cell r="O65" t="str">
            <v>No</v>
          </cell>
          <cell r="W65" t="str">
            <v>Yes, and entered in interstate data spreadsheet</v>
          </cell>
          <cell r="AB65" t="str">
            <v>No</v>
          </cell>
          <cell r="AI65" t="str">
            <v>Yes, and entered in interstate data spreadsheet</v>
          </cell>
          <cell r="AN65" t="str">
            <v>No</v>
          </cell>
          <cell r="AV65" t="str">
            <v>No</v>
          </cell>
          <cell r="BE65" t="str">
            <v>No</v>
          </cell>
          <cell r="BH65" t="str">
            <v>No</v>
          </cell>
          <cell r="BJ65" t="str">
            <v>No</v>
          </cell>
          <cell r="BM65" t="str">
            <v>No</v>
          </cell>
          <cell r="BU65" t="str">
            <v>No</v>
          </cell>
          <cell r="BV65" t="str">
            <v>No</v>
          </cell>
          <cell r="BY65" t="str">
            <v>No</v>
          </cell>
          <cell r="CB65" t="str">
            <v>No</v>
          </cell>
          <cell r="CJ65" t="str">
            <v>No</v>
          </cell>
          <cell r="CS65" t="str">
            <v>No</v>
          </cell>
          <cell r="CT65" t="str">
            <v>Yes, and entered in interstate data spreadsheet</v>
          </cell>
          <cell r="CW65" t="str">
            <v>No</v>
          </cell>
          <cell r="DB65" t="str">
            <v>No</v>
          </cell>
          <cell r="DC65" t="str">
            <v>No</v>
          </cell>
          <cell r="DF65" t="str">
            <v>No</v>
          </cell>
          <cell r="DG65" t="str">
            <v>No</v>
          </cell>
          <cell r="DI65" t="str">
            <v>No</v>
          </cell>
          <cell r="DJ65" t="str">
            <v>Yes, and entered in interstate data spreadsheet</v>
          </cell>
          <cell r="DL65" t="str">
            <v>Yes, and entered in interstate data spreadsheet</v>
          </cell>
          <cell r="DP65" t="str">
            <v>No</v>
          </cell>
          <cell r="DT65" t="str">
            <v>No</v>
          </cell>
          <cell r="DY65" t="str">
            <v>No</v>
          </cell>
          <cell r="EI65" t="str">
            <v>No</v>
          </cell>
          <cell r="EJ65" t="str">
            <v>Yes, and not entered in spreadsheet</v>
          </cell>
          <cell r="EM65" t="str">
            <v>No</v>
          </cell>
          <cell r="EO65" t="str">
            <v>No</v>
          </cell>
          <cell r="ER65" t="str">
            <v>No</v>
          </cell>
          <cell r="ET65" t="str">
            <v>No</v>
          </cell>
          <cell r="EV65" t="str">
            <v>No</v>
          </cell>
          <cell r="EZ65" t="str">
            <v>No</v>
          </cell>
          <cell r="FD65" t="str">
            <v>Yes, and entered in interstate data spreadsheet</v>
          </cell>
          <cell r="FH65" t="str">
            <v>No</v>
          </cell>
          <cell r="FO65" t="str">
            <v>No</v>
          </cell>
          <cell r="FS65" t="str">
            <v>No</v>
          </cell>
          <cell r="FY65" t="str">
            <v>No</v>
          </cell>
          <cell r="GD65" t="str">
            <v>No</v>
          </cell>
          <cell r="GF65" t="str">
            <v>Yes, and entered in interstate data spreadsheet</v>
          </cell>
          <cell r="GS65" t="str">
            <v>No</v>
          </cell>
          <cell r="GU65" t="str">
            <v>No</v>
          </cell>
          <cell r="GY65" t="str">
            <v>Yes, and entered in interstate data spreadsheet</v>
          </cell>
          <cell r="HD65" t="str">
            <v>No</v>
          </cell>
          <cell r="HE65" t="str">
            <v>No</v>
          </cell>
          <cell r="HH65" t="str">
            <v>No</v>
          </cell>
          <cell r="HI65" t="str">
            <v>No</v>
          </cell>
          <cell r="HJ65" t="str">
            <v>No</v>
          </cell>
        </row>
        <row r="66">
          <cell r="A66">
            <v>7</v>
          </cell>
          <cell r="B66" t="str">
            <v>Were any of the reported materials derived from packaging?  If yes, (for each material) approximately what proportion (as % of total)?</v>
          </cell>
          <cell r="K66" t="str">
            <v>No</v>
          </cell>
          <cell r="O66" t="str">
            <v>No</v>
          </cell>
          <cell r="W66" t="str">
            <v>No</v>
          </cell>
          <cell r="AI66" t="str">
            <v>Cardboard - 0.5%
Polystyrene - &lt;0.1%</v>
          </cell>
          <cell r="AN66" t="str">
            <v>No</v>
          </cell>
          <cell r="AV66" t="str">
            <v>No</v>
          </cell>
          <cell r="BE66" t="str">
            <v>Hard to say</v>
          </cell>
          <cell r="BH66" t="str">
            <v>Glass 100%
Plastic Bottles 80%</v>
          </cell>
          <cell r="BJ66" t="str">
            <v>No</v>
          </cell>
          <cell r="BM66" t="str">
            <v>No</v>
          </cell>
          <cell r="BU66" t="str">
            <v>No</v>
          </cell>
          <cell r="BV66" t="str">
            <v>Polystyrene PIC6 ~40%</v>
          </cell>
          <cell r="BY66" t="str">
            <v>No</v>
          </cell>
          <cell r="CB66" t="str">
            <v>No</v>
          </cell>
          <cell r="CJ66" t="str">
            <v>Timber 100%
Plastic 95%
Cardboard 95%</v>
          </cell>
          <cell r="CS66" t="str">
            <v>Yes - RDF feedstock 5%</v>
          </cell>
          <cell r="CT66" t="str">
            <v>No</v>
          </cell>
          <cell r="CW66" t="str">
            <v>No</v>
          </cell>
          <cell r="DB66" t="str">
            <v>No</v>
          </cell>
          <cell r="DC66" t="str">
            <v>Cardboard ?</v>
          </cell>
          <cell r="DF66" t="str">
            <v>No</v>
          </cell>
          <cell r="DG66" t="str">
            <v>No</v>
          </cell>
          <cell r="DI66" t="str">
            <v>No</v>
          </cell>
          <cell r="DJ66" t="str">
            <v>Glass 95%</v>
          </cell>
          <cell r="DL66" t="str">
            <v>No</v>
          </cell>
          <cell r="DP66" t="str">
            <v>Yes, 100% for:
Cardboard
LDPE - wrap
PLPB - waste from manufacturing of packaging</v>
          </cell>
          <cell r="DT66" t="str">
            <v>No</v>
          </cell>
          <cell r="EI66" t="str">
            <v>No</v>
          </cell>
          <cell r="EJ66" t="str">
            <v>No</v>
          </cell>
          <cell r="EM66" t="str">
            <v>No</v>
          </cell>
          <cell r="EO66" t="str">
            <v>Negligible</v>
          </cell>
          <cell r="ER66" t="str">
            <v>No</v>
          </cell>
          <cell r="ET66" t="str">
            <v>OCC - ~50%</v>
          </cell>
          <cell r="EV66" t="str">
            <v>No</v>
          </cell>
          <cell r="EZ66" t="str">
            <v>No</v>
          </cell>
          <cell r="FD66" t="str">
            <v>Aluminium, PET, HDPE, LPB all 100%</v>
          </cell>
          <cell r="FH66" t="str">
            <v>No</v>
          </cell>
          <cell r="FO66" t="str">
            <v>No</v>
          </cell>
          <cell r="FS66" t="str">
            <v>No</v>
          </cell>
          <cell r="FY66" t="str">
            <v>No</v>
          </cell>
          <cell r="GD66" t="str">
            <v>Carboard/paper - 80%
Plastics 80%</v>
          </cell>
          <cell r="GF66" t="str">
            <v>No</v>
          </cell>
          <cell r="GS66" t="str">
            <v>No</v>
          </cell>
          <cell r="GU66" t="str">
            <v>No</v>
          </cell>
          <cell r="HD66" t="str">
            <v>MSW only</v>
          </cell>
          <cell r="HE66" t="str">
            <v>No</v>
          </cell>
          <cell r="HH66" t="str">
            <v>No</v>
          </cell>
          <cell r="HI66" t="str">
            <v>No</v>
          </cell>
          <cell r="HJ66" t="str">
            <v>Cardboard - 60%</v>
          </cell>
        </row>
        <row r="67">
          <cell r="A67">
            <v>8</v>
          </cell>
          <cell r="B67" t="str">
            <v>Have there been any significant changes in quantities, sources or destinations from last financial year?</v>
          </cell>
          <cell r="W67" t="str">
            <v>Increase materials dues to sales/manufacturing growth</v>
          </cell>
          <cell r="AB67" t="str">
            <v>No</v>
          </cell>
          <cell r="AD67" t="str">
            <v>Lighter crop</v>
          </cell>
          <cell r="AI67" t="str">
            <v xml:space="preserve">Relationship with Bunnings using our Unplug N’ Drop program, access to increased sites in conjunction with our Co-Regulatory partner. </v>
          </cell>
          <cell r="AV67" t="str">
            <v>Slight increase due to volume of production</v>
          </cell>
          <cell r="BE67" t="str">
            <v>Mostly change in destination - From China to Indonesia and Malaysia</v>
          </cell>
          <cell r="BH67" t="str">
            <v>No</v>
          </cell>
          <cell r="BM67" t="str">
            <v xml:space="preserve">The increase in recycled material content used is reflective of the increase in production out of the Wingfield asphalt plant. </v>
          </cell>
          <cell r="BU67" t="str">
            <v>Tonnes fairly consistent</v>
          </cell>
          <cell r="BV67" t="str">
            <v>No stockpiles.
Some increase in collections from Post Consumer use. 
Some increase Commercial /Industrial waste
Some reduction in Internal use of recycled material</v>
          </cell>
          <cell r="BY67" t="str">
            <v>None</v>
          </cell>
          <cell r="CC67" t="str">
            <v>Stockpile of mixed waste due to China’s National Sword Policy</v>
          </cell>
          <cell r="CJ67" t="str">
            <v>161.59 tons of foundry sand to Resource -co south for beneficial reuse (WDF)</v>
          </cell>
          <cell r="CS67" t="str">
            <v>Product sales pads are maintained in lined with market forecasts and upcoming potential contracts, be they internal or external. Tyrecucle does not hold product onsite in line with license conditions.
There has been some increase in the stockpile of processed concrete due to larger than normal incoming volumes. It is expected that the processed material will be delivered back into the infrastructure projects where the waste was derived from as product within the next 12 months</v>
          </cell>
          <cell r="CT67" t="str">
            <v>Yes, increase sales of our niche products to overseas customers for quantities driven by demand and interest in our products.</v>
          </cell>
          <cell r="DC67" t="str">
            <v>Quantities – we stopped processing kerbside
Destination – market changes</v>
          </cell>
          <cell r="DF67" t="str">
            <v>No, very steady (but indicated everything was up approx 5 per cent from last year)</v>
          </cell>
          <cell r="DG67" t="str">
            <v>No</v>
          </cell>
          <cell r="DJ67" t="str">
            <v>Increased interstate quantities available</v>
          </cell>
          <cell r="DL67" t="str">
            <v xml:space="preserve">Destinations on the back of China sword
Non-ferrous shred value down
</v>
          </cell>
          <cell r="DP67" t="str">
            <v>Increase in tonnes - Cleanaway won the Coles contract (previously going to Visy)</v>
          </cell>
          <cell r="DT67" t="str">
            <v>Weather condistions. General end market conditions</v>
          </cell>
          <cell r="EI67" t="str">
            <v>Volumes, sources and destinations of recycled C&amp;D waste depend on the location and type of infrastructure projects the department is undertaking, and whether it is more economic to haul, store and reuse the material for a future project, or dispose of it elsewhere and use virgin material for future projects.</v>
          </cell>
          <cell r="EJ67" t="str">
            <v>Quantities dropping significantly - Used to do 300 drums per day, now 50 per week. Everything tends to be bulk or small packaged
Oil - no stockpiles</v>
          </cell>
          <cell r="EM67" t="str">
            <v>Bolivar &amp; Pt Lincoln reduced stockpiles</v>
          </cell>
          <cell r="ER67" t="str">
            <v>Metal volumes remained consistent, PVC and electric motors reduced as demand from China reduced</v>
          </cell>
          <cell r="ET67" t="str">
            <v>Extra plastic supplies from desperate recyclers
Issues with China as destination due Chins Sword</v>
          </cell>
          <cell r="EZ67" t="str">
            <v>No significant changes – public and businesses are more aware of recycling.
Waste Sludge is no longer received at this site.</v>
          </cell>
          <cell r="FD67" t="str">
            <v>Changes in destinations due to the Chinese green sword. Destination for plastics sent overseas has moved from China for processing to Indonesia for processing.</v>
          </cell>
          <cell r="FH67" t="str">
            <v>No</v>
          </cell>
          <cell r="FO67" t="str">
            <v xml:space="preserve">There have been some weight changes - in part due to the end of the City of Prospect contract 
and, related to the new Lonsdale and Welland transfer stations, Concrete and Asphalt 
tonnages have increased. </v>
          </cell>
          <cell r="FY67" t="str">
            <v>No</v>
          </cell>
          <cell r="GD67" t="str">
            <v>Plastics are no longer being accepted in china restricting recycling</v>
          </cell>
          <cell r="GF67" t="str">
            <v>40% from Bankstown
Next year will be big as well (already done 300 tonnes or so - probably will hit 2-3k)</v>
          </cell>
          <cell r="GS67" t="str">
            <v>Everything increased - especially pine bark, sawdust etc. housing industry growth
Melbourne green organics contract - 20,000t half will come to Mt Gambier
More interest in soil health</v>
          </cell>
          <cell r="GY67" t="str">
            <v>More industrial recycling
Working with NAWMA to export plastics
People relying on YCA expertise and experience</v>
          </cell>
          <cell r="HE67" t="str">
            <v>The increase in both ID5 (WF) and ID6 (IWS) volumes are largely due to soil from one large construction project which was carried out in the 17-18 financial year; the Torrens Rail Junction Project.</v>
          </cell>
          <cell r="HH67" t="str">
            <v>No significant changes</v>
          </cell>
        </row>
        <row r="68">
          <cell r="A68">
            <v>9</v>
          </cell>
          <cell r="B68" t="str">
            <v>Where do you receive most of your material from, e.g. Councils, manufacturing, retail, hospitality, etc.?</v>
          </cell>
          <cell r="X68" t="str">
            <v>E-waste drop off points</v>
          </cell>
          <cell r="AB68" t="str">
            <v xml:space="preserve">Residents and businesses </v>
          </cell>
          <cell r="AD68" t="str">
            <v>Almond growers</v>
          </cell>
          <cell r="AI68" t="str">
            <v>Transfer stations, public drop offs, business’ end-of-life items</v>
          </cell>
          <cell r="AN68" t="str">
            <v>ID 12 Timber - Received from manufacturing companies.
ID 13 Meat Rendering - Generated through internal processes.
ID 15 Waste Sludge &amp; Bio-Solids - Generated through internal processes.
ID 16 Organics (Other) - Generated through internal processes.
ID 17 Cardboard &amp; Waxed Cardboard - Received from manufacturing companies.
ID 22 Printing &amp; Writing Paper - Received from manufacturing companies.
ID 29 Mixed &amp;/Or Other Plastics - Received from manufacturing companies.</v>
          </cell>
          <cell r="BH68" t="str">
            <v>Retail (public), Hospitalisty (hotels), Manufacturing</v>
          </cell>
          <cell r="BJ68" t="str">
            <v>Households, Tradies, Construction/demolition</v>
          </cell>
          <cell r="BM68" t="str">
            <v>Road material sourced from local council and state owned roads</v>
          </cell>
          <cell r="BV68" t="str">
            <v>Construction and Demolition</v>
          </cell>
          <cell r="BY68" t="str">
            <v xml:space="preserve">Self- supplied recycled from new construction </v>
          </cell>
          <cell r="CC68" t="str">
            <v>Councils</v>
          </cell>
          <cell r="CJ68" t="str">
            <v>Manufacturing companies – Pig Iron, Mineral (copper, carbon etc.) inputs, sand, coal and clay.
Recyclers – scrap steel</v>
          </cell>
          <cell r="CS68" t="str">
            <v xml:space="preserve">Construction and demolition and civil works provide most feedstock. Tyrecycle feedstock is mainly retail focused collections. </v>
          </cell>
          <cell r="CT68" t="str">
            <v>Manufacturing</v>
          </cell>
          <cell r="CW68" t="str">
            <v>Majority of volume through Mobile Muster come from retailers, including major phones retailers, Officeworks and Battery World along with the free post back satchel that Mobile Muster has.</v>
          </cell>
          <cell r="DB68" t="str">
            <v>Council/retail</v>
          </cell>
          <cell r="DC68" t="str">
            <v>Councils, retail</v>
          </cell>
          <cell r="DG68" t="str">
            <v xml:space="preserve">Publishers </v>
          </cell>
          <cell r="DJ68" t="str">
            <v>MRFs, councils, hospitality</v>
          </cell>
          <cell r="DT68" t="str">
            <v>Mainly councils</v>
          </cell>
          <cell r="DY68" t="str">
            <v>Businesses, industrial</v>
          </cell>
          <cell r="EI68" t="str">
            <v>Excavation/ demolition and construction activities on DPTI infrastructure projects</v>
          </cell>
          <cell r="EJ68" t="str">
            <v>Industry</v>
          </cell>
          <cell r="EM68" t="str">
            <v>Waste activated sludge from wastewater treatment plants
High strength liquid organic wastes from beverage, juicing and dairy industries processed in wastewater treatment plant.</v>
          </cell>
          <cell r="EO68" t="str">
            <v>Donations from the Public direct to our Op Shops and via collections through our At-Home collections</v>
          </cell>
          <cell r="ER68" t="str">
            <v>Councils, industry, demolition, TSs, CBS, Suez, NAWMA, Tier 1 and 2 scrap dealers</v>
          </cell>
          <cell r="ET68" t="str">
            <v>C&amp;I</v>
          </cell>
          <cell r="EV68" t="str">
            <v>Councils</v>
          </cell>
          <cell r="EZ68" t="str">
            <v>Councils, construction, domestic</v>
          </cell>
          <cell r="FD68" t="str">
            <v>Consumers</v>
          </cell>
          <cell r="FH68" t="str">
            <v>Manufacturing [Wineries]</v>
          </cell>
          <cell r="FO68" t="str">
            <v>Councils, Manufacturing, Retail and Hospitality, Commerce &amp; Industry</v>
          </cell>
          <cell r="FY68" t="str">
            <v>General Public/Business</v>
          </cell>
          <cell r="GD68" t="str">
            <v>Council/hospitality /public/industry</v>
          </cell>
          <cell r="GS68" t="str">
            <v xml:space="preserve">Timber Industry, Municipal (contracted Councils) , Commercial and Industrial (Wool Industry , Paper Industry, Meat Industry) , Construction and Demolition . </v>
          </cell>
          <cell r="GU68" t="str">
            <v>Small local recycling businesses</v>
          </cell>
          <cell r="HD68" t="str">
            <v>Councils</v>
          </cell>
          <cell r="HE68" t="str">
            <v>ID 5 (Waste Fill): SA Water: State Government construction projects. The largest source was the Torrens Rail Junction project.
ID 6 (Intermediate Waste Soil): State Government construction projects. The largest source was the Torrens Rail Junction project.</v>
          </cell>
          <cell r="HH68" t="str">
            <v>Concrete manufacturers and Asphalt profiling companies</v>
          </cell>
          <cell r="HI68" t="str">
            <v>Builders bins and residential weekend cleanup</v>
          </cell>
        </row>
        <row r="69">
          <cell r="A69">
            <v>10</v>
          </cell>
          <cell r="B69" t="str">
            <v>Which organisation(s) did you send each of your recovered or re-processed materials (e.g. Company X for organics and Company Y for plastics)?</v>
          </cell>
          <cell r="W69" t="str">
            <v>They consume the hdpe amd sell as wood/plastic composite</v>
          </cell>
          <cell r="X69" t="str">
            <v>Electronic recycling australia</v>
          </cell>
          <cell r="AB69" t="str">
            <v xml:space="preserve">Steel ARR 
Cardboard Orora/SKM
Electronics Tech Collect / Mobile Muster </v>
          </cell>
          <cell r="AD69" t="str">
            <v>Stock feed lots, farmers</v>
          </cell>
          <cell r="AI69" t="str">
            <v xml:space="preserve">Sims Recycling Solutions – circuit boards, peripherals (Keyboard, mice, CD rom drives etc)
Trading Metals – Bailing steel, Alloy, Copper 
Vanden Recycling, YCA Recycling – Plastic. 
Nyrstar Port Pirie – Leaded Glass </v>
          </cell>
          <cell r="AN69" t="str">
            <v xml:space="preserve">Veolia cardboard 
MBL meat rendering other organics 
YCA Recycling  plastic 
CSF Proteins Meat Rendering 
Timber Veolia 
Peats Soil &amp; Garden Supplies waste sludge </v>
          </cell>
          <cell r="BH69" t="str">
            <v>Metals - OneSteel, Sims, Trading metals, YCA
Plastics/Glass - Marine stores, Statewide recycling, Visy
Cardboard - Suez</v>
          </cell>
          <cell r="BM69" t="str">
            <v>All recycled material is used in the production of Downer’s asphalt</v>
          </cell>
          <cell r="BU69" t="str">
            <v>Sims, Onesteel</v>
          </cell>
          <cell r="BV69" t="str">
            <v>Company Foamex South Aust for Internal use Plastics. Interstate transfer to Foamex Victoria 10 tonne, China and Malaysia for the exports plastics.  All Polystyrene PIC 6</v>
          </cell>
          <cell r="BY69" t="str">
            <v xml:space="preserve">All internally supplied and used </v>
          </cell>
          <cell r="CC69" t="str">
            <v>Statewide Recycling – Cans, Plastics, Steel
Impact Recycling – Plastics, Cardboard, Mixed Paper
Marine Stores – Cans
ACI – Glass
Denron Metals - Steel
Fibrecycle - Newsprint
Visy Recycling - Cardboard &amp; Mixed Paper</v>
          </cell>
          <cell r="CJ69" t="str">
            <v>Remondis - Sand sweepings, Dust, Vac only, HD general, Timber, cardboard, plastic, white paper.
CMA - Globes
YCA - Bulker bags</v>
          </cell>
          <cell r="CS69" t="str">
            <v>Building and civil works consume the vast majority of materials being collected for recycling. Tyrecycle manufactures Tyre derived fuel for overseas cement kilns in SA and diverts approximately 9% of materials for granulation to Tyrecycle's Victorian plant</v>
          </cell>
          <cell r="CT69" t="str">
            <v>Traders, Perfood Manufacturers, Animal feed manufacturers, both Local and overseas.
Numerous names which we a not prepared to name.</v>
          </cell>
          <cell r="CW69" t="str">
            <v>TES: tes-amm.com.au</v>
          </cell>
          <cell r="DB69" t="str">
            <v>Garden Organics – Mulbarton Padthaway, Co-mingle Recycling SKM Melbourne</v>
          </cell>
          <cell r="DC69" t="str">
            <v>Visy – cardboard, paper
Plastic – Vanden Recycling
Amcor – glass
Steel – Sims metal</v>
          </cell>
          <cell r="DF69" t="str">
            <v>Sims and Onesteel</v>
          </cell>
          <cell r="DG69" t="str">
            <v>Send to own facilities - Albury</v>
          </cell>
          <cell r="DJ69" t="str">
            <v xml:space="preserve">New glass container packaging for the food and beverage industry, eg Breweries and Wineries </v>
          </cell>
          <cell r="DT69" t="str">
            <v>Direct to end market</v>
          </cell>
          <cell r="DY69" t="str">
            <v>Retail Sales</v>
          </cell>
          <cell r="EI69" t="str">
            <v>Asphalt planings: Downer, Topcoat, Hallet, then generally re-used back in DPTI projects
Asphalt bulk: Downer, Resource Co, Boral, Adelaide Resource Recovery
Spoil: mostly sent to DPTI’s depots for reuse on Northern Connector. Some sent to Adelaide Resource Recovery
Rubble: Resource Co, Boral, Suez
Steel: Suez, Adelaide Resource Recovery, Normetals</v>
          </cell>
          <cell r="EJ69" t="str">
            <v xml:space="preserve">Some to Sims - end of life drums
Processors for the mining industry - analytical samples
Small amount into the oil industry
Filter the oil in their facilities - abattoirs </v>
          </cell>
          <cell r="EM69" t="str">
            <v>Broad acre farming
Compost production</v>
          </cell>
          <cell r="EO69" t="str">
            <v>Salvos Stores for Clothing, Electrical, Furniture, Books, Bric-a-Brac, and Accessories.
Cleanaway for Cardboard
Statewide Recycling for Textiles
SUEZ Wingfield Waste for E-waste
Multiple dealers for Metals (no data collected)</v>
          </cell>
          <cell r="ER69" t="str">
            <v>Steel mills (China, Asia, EU), Port Kembla (majority of Aus ferrous)</v>
          </cell>
          <cell r="ET69" t="str">
            <v>All our recycles are exported.</v>
          </cell>
          <cell r="EV69" t="str">
            <v>ALL fully comingle recyclables sent to our Victorian operations for processing.</v>
          </cell>
          <cell r="EZ69" t="str">
            <v>IWS - Organics</v>
          </cell>
          <cell r="FD69" t="str">
            <v>PET clear sent to VISY.
Aluminium sent to Liberty Onesteel and VISY and Simsmetal.
HDPE sent to VISY
LPB sent to Cellmark</v>
          </cell>
          <cell r="FH69" t="str">
            <v>Extracted products go to local and overseas beverage / wine businesses.
Recycle water to local vineyard irrigation
Solid organic residuals go to stock feed or broad acre soil improvement</v>
          </cell>
          <cell r="FO69" t="str">
            <v>Jefferies &amp; Peats – composting: Visy, SKM, Orora and YCA - recycling</v>
          </cell>
          <cell r="FY69" t="str">
            <v>Steel – Augusta Metal Recyclers
Cardboard – Veolia Port Lincoln</v>
          </cell>
          <cell r="GD69" t="str">
            <v>Cardboard paper plastics......Suez
Glass ......Visy
Metals........Sims</v>
          </cell>
          <cell r="GS69" t="str">
            <v>There are a large number of organisations who receive our processed materials, hence difficult to name them all. But the major segments of the market that receive our end products :
•	Landscape Industry – all year round
•	Horticulture Industry – all year round
•	Agriculture - seasonal
•	Viticulture - seasonal</v>
          </cell>
          <cell r="GU69" t="str">
            <v>Local companies</v>
          </cell>
          <cell r="HD69" t="str">
            <v>Sims Metal &amp; Normetals – Steel &amp; Aluminium
Overseas Markets (Various)- Mixed Paper &amp; Plastics
Vanden Recycling – Plastics
Glass – Visy Recycling (Orora)
CDL - State Wide &amp; Marine Stores.</v>
          </cell>
          <cell r="HI69" t="str">
            <v>Sims, ResourceCo, Suez ResourceCo, Aurora (Orora?), North Waste</v>
          </cell>
        </row>
        <row r="70">
          <cell r="A70">
            <v>11</v>
          </cell>
          <cell r="B70" t="str">
            <v>Your opinion about the market strength/prospects for recycled materials.</v>
          </cell>
          <cell r="K70" t="str">
            <v>RDF expanding - licenses 20%
Industry residuals diminishing</v>
          </cell>
          <cell r="W70" t="str">
            <v>Challenge bringing people across to the new products. 
Lots of talk about and buying recycled content but market very slow to respond</v>
          </cell>
          <cell r="AB70" t="str">
            <v>SteeUnfortunately the market is very exposed with China Sword and believe that SA need to move into manufacturing here in SA for growth and stability to happen.</v>
          </cell>
          <cell r="AD70" t="str">
            <v>Sound</v>
          </cell>
          <cell r="AI70" t="str">
            <v xml:space="preserve">China’s implementation of their “National Sword” policy has greatly affected our ability to vend baled plastic. Sourcing other avenues has been trying, although limited opportunities have arisen, albeit at a greatly reduced value.  
Markets for higher grade commodities have been strong and bailing metal prices have risen and remained steady over the past 12 months. </v>
          </cell>
          <cell r="AN70" t="str">
            <v>More assistance and incentives required. Difficult to find a recycling avenue for soiled soft plastics from our process. Best option to divert from landfill is alternative fuel.</v>
          </cell>
          <cell r="BE70" t="str">
            <v>Industry is pretty big and never going to get rid of it, cheapest form of insulation. Got no choice but to recycle as they make their own waste, while manufacturing fridges etc.</v>
          </cell>
          <cell r="BH70" t="str">
            <v>Good at this stage, still some restriction from China regarding recycling some items</v>
          </cell>
          <cell r="BJ70" t="str">
            <v>No so Strong</v>
          </cell>
          <cell r="BM70" t="str">
            <v xml:space="preserve">There is a mature market in SA for recycled asphalt. </v>
          </cell>
          <cell r="BU70" t="str">
            <v>Pretty stagnant - some peaks, but drops down. Less tonnes through the door when it’s lower</v>
          </cell>
          <cell r="BV70" t="str">
            <v>With tougher restrictions on exporting recycled materials to China prices have weakened.</v>
          </cell>
          <cell r="BY70" t="str">
            <v xml:space="preserve">The full advantage is not realised , businesses do not want to pay extra for it </v>
          </cell>
          <cell r="CJ70" t="str">
            <v>Weaker, less quality material for input (Scrap metal) and output / waste option very few and expensive.</v>
          </cell>
          <cell r="CS70" t="str">
            <v xml:space="preserve">Prospects for recycling of materials have been proven to be challenging in the last year. The National Sword policy in place in China and other nations following similar paths has severely impacted the recycling industry. This has changed the effort required by business, community and government with a significant focus required on what can be done domestically, either to meet specifications or change tact somewhat. Previous reliance on export requires a shift to 
alternate solutions.  
Key infrastructure projects have driven volumes within SA for civil applications, however has created an environment where agencies, through sheer volume requirements, have flaunted existing regulations and conditions that the rest of industry is compelled to follow. 
Manufacturing to a specification that can be utilised or exported as a product, rather than a component, is an opportunity that ResourceCo is pursuing.  
Tyre derived product, C&amp;D derived product and C&amp;I materials, specifically plastics, still require regulatory support. With the right frameworks and a more aggressive procurement timeline we could see demand increase locally for materials.  
We must focus on re-manufacturing as opposed to landfill diversion and there must be increased focus on the creation and development of domestic markets to consume recycled 
products. </v>
          </cell>
          <cell r="CT70" t="str">
            <v>All our products are commodities hence are subject to rise and fall of market prices.
Prospect for growth of our protein material is good as the world requires increased protein.</v>
          </cell>
          <cell r="CW70" t="str">
            <v>Mobile phones are highly recyclable and there is definitely a market for the recovered metals from these devices.  The material today recovered by our recycler is returned to the supply chain to go into the production of new material.
The market for recycled plastics needs to be further developed to help reduce the need for virgin material which only compounds the existing plastics issue.</v>
          </cell>
          <cell r="DB70" t="str">
            <v>Long term new markets will be found, or old entities may re-enter the market.
New uses for plastics / glass will eventually be developed within Australia.</v>
          </cell>
          <cell r="DC70" t="str">
            <v>Weak markets with low prices</v>
          </cell>
          <cell r="DF70" t="str">
            <v xml:space="preserve">Was slipping a bit but picking up and steady at the current time. </v>
          </cell>
          <cell r="DI70" t="str">
            <v>12 months from primary smelter ready for 400,000 tpa of e-waste
Not looking into reuse of electric vehicle batteries 
Starting with high value materials and may move to e-waste
No contracts in place with e-waste recyclers</v>
          </cell>
          <cell r="DJ70" t="str">
            <v>Very good</v>
          </cell>
          <cell r="DL70" t="str">
            <v>Metal markets are resonably stable</v>
          </cell>
          <cell r="DP70" t="str">
            <v>Difficult to be optimistic - lack of consistency.
Hard to make long term investment decisions
Could upgraed baler (350k investment) but if China shuts tap, 30-40% reduction in value</v>
          </cell>
          <cell r="DT70" t="str">
            <v>Very strong for organics - 
Cardon credit scheme, market edge
not enough product to meet all demand
Bunnings are moving towards contamination, may limit distrobution</v>
          </cell>
          <cell r="EJ70" t="str">
            <v>No industry in SA to speak of anymore - when GMH wound up, significant effect</v>
          </cell>
          <cell r="EM70" t="str">
            <v>Strong. Demand by farmers is currently matched by supply but there may be scope for more reuse.
There is further potential for co-digestion of wastes in WWTPs including greasy wastes</v>
          </cell>
          <cell r="EO70" t="str">
            <v>•	Non-traditional Plastic Recycling is difficult-to-non-existent (i.e. plastic toys, heat-treated plastics in Tupperware, plastics within consumer goods)
o	Soft plastics and “Hard Plastics” used in packaging have existing markets due to recyclability, however polymers used within consumer products aren’t so readily recyclable.
•	Market demand for glass is very low, making it difficult to find commercially friendly recycling solutions for a large network of small volume sites (i.e. high logistics costs)
•	Composite product (i.e. furniture or multi-material consumer products) are very heterogeneous and very labour intensive to pull apart and the resultant recycled materials have a low sale value (i.e. stuffing, plastics, wood, textiles)</v>
          </cell>
          <cell r="ER70" t="str">
            <v>Up and down. Hard no - went up and lowered again. China stopped taking PVC which is 10% of non-ferrous at least. May granulate the PVC locally.</v>
          </cell>
          <cell r="ET70" t="str">
            <v xml:space="preserve">China Sword is a positive, forces Aus to look after our recyclables </v>
          </cell>
          <cell r="EV70" t="str">
            <v>SKM is optimistic about markets and prospects for recycled material. However, there are significant factors that are currently affecting traditional export markets for recyclables, and 
these factors will continue to influence markets for some time to come. SKM’s view is that stricter requirements around the quality of recyclables that are sold is a challenge that SKM was already is meeting. Suppliers need to constantly adapt to the changing demands of 
markets and SKM has been doing this. Recent changes have only enforced the need to return value-add processes onshore (where it is financially viable). Longer -term, value adding to current “traditional” products, and at the same time creating new domestic investment and jobs, is a path that is inevitable. SKM is already moving down a path of spreading risk and developing new opportunities both domestically and internationally via exploring value-add alternatives that will develop a wider product spread and open new and varied sale markets.</v>
          </cell>
          <cell r="EZ70" t="str">
            <v>Volatile market based on the use of recovered products. SRWRA utilises recovered products.</v>
          </cell>
          <cell r="FD70" t="str">
            <v>Prospects for Aluminium are strong. The demand and sale price for plastics has declined since the china sword issue. Interest in purchasing plastics has declined substantially over the last 12 months. We are aware that plastics are being processed into pellets in Indonesia and are then being shipped into China. The additional processing destination (Indonesia) before shipping to China has reduced both demand and the sale price that can be achieved. The sale price that can be achieved for clear PET FOR REUSE WITHIN Australia has also declined by approximately 25% over the last 2 years due to a reduction in competitive bidding for the purchase of the products.</v>
          </cell>
          <cell r="FH70" t="str">
            <v>Poor market outlets for residual organics as stock feed
Poor market outlets for residual organics as soil improver</v>
          </cell>
          <cell r="GD70" t="str">
            <v>Markets are low due to the chinese limiting imports,plastics are becoming almost impossible to recycle,cardboard prices have fallen</v>
          </cell>
          <cell r="GF70" t="str">
            <v>Not enough - Councils are only asking for at least 30% recycled content 
Can always use what they get back
No real limit to how much they can put into - but depends on the quality</v>
          </cell>
          <cell r="GS70" t="str">
            <v>Garden/landscape industry strong</v>
          </cell>
          <cell r="GU70" t="str">
            <v>Small business unit and production business only.</v>
          </cell>
          <cell r="GY70" t="str">
            <v>Future of plastics recycling in Aus - moving away from virgin materials
GISA grant opens up downstream markets  - potential to receive more material from interstate</v>
          </cell>
          <cell r="HD70" t="str">
            <v>Very volatile market regards pricing. Destinations have been impacted by China bans but destinations are there if the quality meets specification. Exporting out of SA is challenging with shipping availability and Ocean freight rates.</v>
          </cell>
          <cell r="HE70" t="str">
            <v>A number of re use options have been identified for our materials received and it is expected that all materials will be able to be reused. There is plenty of low lying land in metro Adelaide that will need to be raised for future development, providing a destination for large volumes of IWS and WF. Renewal SA has been able to reuse some of it’s material to date on project sites in Gillman and Port Adelaide. The Northern Connector project may also provide another significant destination for recycled IWS and WF.</v>
          </cell>
          <cell r="HH70" t="str">
            <v>Market is fairly settled in the construction industry however the product produced is only as good as the material brought in. Products are accepted in the market but still viewed as inferior to virgin quarry materialsall growth due to the demand on our competitors supplying the Northern connector project.</v>
          </cell>
          <cell r="HI70" t="str">
            <v>There is a good market for our recovered materials</v>
          </cell>
          <cell r="HJ70" t="str">
            <v>I believe the market prospects for recycled materials should be on the rise as people are becoming more conscious of the environmental impacts</v>
          </cell>
        </row>
        <row r="71">
          <cell r="A71">
            <v>12</v>
          </cell>
          <cell r="B71" t="str">
            <v>Does your company or organisation intend to expand or contract its SA facilities?  If yes, what will this involve?</v>
          </cell>
          <cell r="K71" t="str">
            <v>No - completed kiln dust, RDF have anough capacity. Project grape marc into kilns - if successful, receival plant Angaston</v>
          </cell>
          <cell r="W71" t="str">
            <v>Second extrusion line would be the next investment ($1.5m) - not planned yet 
Being able to test supplier material would be key - MFI tester (melt float index)</v>
          </cell>
          <cell r="X71" t="str">
            <v xml:space="preserve">They are going to do some collection of fridges and degassing 
Processing of materials isn’t viable for a small operation anymore. </v>
          </cell>
          <cell r="AB71" t="str">
            <v>No</v>
          </cell>
          <cell r="AD71" t="str">
            <v>No</v>
          </cell>
          <cell r="AI71" t="str">
            <v xml:space="preserve">Yes, Polystyrene recycling will be commencing at our Underdale site, and a view to introduce a mattress recycling program in the near future.  </v>
          </cell>
          <cell r="AN71" t="str">
            <v>Continuously reviewing recycling initiatives.</v>
          </cell>
          <cell r="BE71" t="str">
            <v>Opportunity to increase – if could do for free could double tonnes – Don’t have max capacity (4 machines only using one)</v>
          </cell>
          <cell r="BH71" t="str">
            <v>Not in SA but looking to expand to Queensland</v>
          </cell>
          <cell r="BJ71" t="str">
            <v>No so Strong</v>
          </cell>
          <cell r="BM71" t="str">
            <v>Not at this stage</v>
          </cell>
          <cell r="BU71" t="str">
            <v>Keeping as is - maintenance where needed</v>
          </cell>
          <cell r="BV71" t="str">
            <v>No plans for change</v>
          </cell>
          <cell r="BY71" t="str">
            <v>We are trying to optimise and get the most recycled products as possible in all our products</v>
          </cell>
          <cell r="CC71" t="str">
            <v>Extension to building to sort cardboard (via grant funding)</v>
          </cell>
          <cell r="CJ71" t="str">
            <v xml:space="preserve">Nope, Recycling not the primary activity, always looking to increase quality of scrap input and find more costs effective solutions for waste. </v>
          </cell>
          <cell r="CS71" t="str">
            <v xml:space="preserve">Tyrecycle has recently acquired a second tyre processing facility at Wingfield. This operation was seen as a good fit to maintain the recovery of tyres from the market in a sustainable 
fashion.  
Looking to build another plant down south of Adelaide (SuezResourceCo) - C&amp;I, C&amp;D. 2-3 year lead time
There is a strong view that under the right regulatory framework further investment would be undertaken in the alternative fuel space. It seems counter intuitive to stockpile materials that were reliant on an export market that no longer exists when there is a ready-made energy 
market capable of consuming the materials (currently unrecyclable) as fuel. 
The waste hierarchy ignores the change China’s position on recycled materials. That hierarchy places reuse and recycling above recovery while the market no longer exists for recycled in feed materials of the standards allowable under the existing economic conditions. This 
suggests policy needs to be reset in a timely fashion releasing pressure on industry and government alike. </v>
          </cell>
          <cell r="CT71" t="str">
            <v>Yes, investment in waste water savings and investment in infrastructure for accreditations.</v>
          </cell>
          <cell r="DB71" t="str">
            <v>We have installed a compactor for kerbside recycling to make the freight component viable to take the recycling to a state-of-the-art facility in Melbourne / Geelong.</v>
          </cell>
          <cell r="DC71" t="str">
            <v>No</v>
          </cell>
          <cell r="DF71" t="str">
            <v>Slowly expanding - looking at retail steel side of things</v>
          </cell>
          <cell r="DG71" t="str">
            <v>No</v>
          </cell>
          <cell r="DJ71" t="str">
            <v>High transport costs from interstate</v>
          </cell>
          <cell r="DL71" t="str">
            <v>Potential but not planned - $20 million upgrade in Melbourne. Would like to devevelop or move off site</v>
          </cell>
          <cell r="DP71" t="str">
            <v>Investment usually happens at supply sites (baler/compactor)
Risk adverse for non-core business
Could consider future in SA if prolonged period of break even operations</v>
          </cell>
          <cell r="DT71" t="str">
            <v>New facilities in Upper Spencer Gulf - particularly another OWC
Langhorne creek - pelletisation, continue education and needs capital investment</v>
          </cell>
          <cell r="DY71" t="str">
            <v>No</v>
          </cell>
          <cell r="EJ71" t="str">
            <v>No plans to contract 
Oil side - would like to expand</v>
          </cell>
          <cell r="EM71" t="str">
            <v>Efforts are currently directed to gaining efficiencies in biosolids management; there are no plans for expansion in the near future.</v>
          </cell>
          <cell r="EO71" t="str">
            <v>Yes, Salvos Stores is expanding its op shop network within South Australia and investigating opening Tip shops to divert more product through reuse streams rather than through waste or recycling (Diversification of Product offering)</v>
          </cell>
          <cell r="ER71" t="str">
            <v xml:space="preserve">Shredder flock - potential EfW. Picked up C&amp;D too potentially. Also land reclamation an option.
Sims going to be receiving from EPRS and be an aggregator for SA. Lonsdale mums and dads accept this too. Looking at taking E-waste - all forms, take to NSW for reprocessing. Havent started.
Flock - get metal out if they can use eddy current to get more. $3m invested by mid 2018. Drop off point for all recyclables including tyres, bottles and cans.
New acquisition - Old access shredder (allows quick change over of grids), will look to better separate and liberate NFSR. </v>
          </cell>
          <cell r="ET71" t="str">
            <v>We are installing a sorting station in our OCC shed</v>
          </cell>
          <cell r="EV71" t="str">
            <v>SKM is currently building a MRF at our Wingfield site. This will also include a specialised and 
dedicated Plastics MRF, and a Glass Beneficiary Facility in the future</v>
          </cell>
          <cell r="EZ71" t="str">
            <v>Yes – bio pad recycling. MRF</v>
          </cell>
          <cell r="FD71" t="str">
            <v>Non recyclable plastics have been introduced into the Market. Examples include White PET, Polystyrene Plastic and Laminated Sachets.</v>
          </cell>
          <cell r="FH71" t="str">
            <v>No significant change
Tarac is constrained by volumes of winery residuals available within economically viable freight distances.</v>
          </cell>
          <cell r="FO71" t="str">
            <v>New investments; improvements to the Transfer Station at Wingfield for increased 
resource recovery.</v>
          </cell>
          <cell r="GD71" t="str">
            <v>Not at this time</v>
          </cell>
          <cell r="GF71" t="str">
            <v>May put a second a line in - going to 9 people, expect to do this by January</v>
          </cell>
          <cell r="GS71" t="str">
            <v>Just invested in two new screens to separate glass, syringes etc (still manual plastic removal)
Consolidate operations in next three years
Relocated to Wundillo - $10 million infrastructure upgrade - a lot self funded</v>
          </cell>
          <cell r="GU71" t="str">
            <v>The company will make new investment if this is a right decision from a commercial point of view.</v>
          </cell>
          <cell r="HD71" t="str">
            <v>Yes, investment in technology, increase in processing capacity &amp; investment in jobs.</v>
          </cell>
          <cell r="HE71" t="str">
            <v xml:space="preserve">We have recently sought an expansion of our customer base to include local and federal government, and have sought to add the activity of C&amp;D (inert) receipt and processing to our EPA licence. We hope to be able to process waste concrete and brick from demolition sites into a geotechnically suitable fill material for use on projects as needed. </v>
          </cell>
          <cell r="HH71" t="str">
            <v>We are forecasting small growth due to the demand on our competitors supplying the Northern connector project.</v>
          </cell>
          <cell r="HI71" t="str">
            <v>Yes, improve existing facility to add value to products</v>
          </cell>
        </row>
        <row r="72">
          <cell r="A72">
            <v>13</v>
          </cell>
          <cell r="B72" t="str">
            <v>Are there any significant barriers, e.g. market, regulatory, technology, for your SA operations?</v>
          </cell>
          <cell r="K72" t="str">
            <v>EPA approval barriers - 3 years
Trucking cost for 'mill scale' and carbon transport - but still economical
Potential to import fly ash from overseas</v>
          </cell>
          <cell r="W72" t="str">
            <v>Market buying back as new commodity
Import and issue compared to virgin materials - predominant competition is timber. Their product is more expensive than pine, but cheaper than hard wood</v>
          </cell>
          <cell r="X72" t="str">
            <v>No one polices what happens at the scrap metal merchants</v>
          </cell>
          <cell r="AB72" t="str">
            <v xml:space="preserve">NoMarket / technology – believe a MRF is required Sth of Adelaide. </v>
          </cell>
          <cell r="AD72" t="str">
            <v>No</v>
          </cell>
          <cell r="AI72" t="str">
            <v xml:space="preserve">As per last year, the National TV and Computer Recycling Scheme does not cater for “non-scheme” items, in which we have seen a large increase in receiving over the last financial year. </v>
          </cell>
          <cell r="AN72" t="str">
            <v>More assistance and incentives required. Difficult to find a recycling avenue for soiled soft plastics from our process. Best option to divert from landfill is alternative fuel.</v>
          </cell>
          <cell r="BE72" t="str">
            <v>People think can’t recycle – shocked people when recycle polystyrene – 
No supermarkets on board as they want free services.</v>
          </cell>
          <cell r="BH72" t="str">
            <v>Not at this stage</v>
          </cell>
          <cell r="BM72" t="str">
            <v xml:space="preserve">The size of the market for road material. </v>
          </cell>
          <cell r="BU72" t="str">
            <v>None</v>
          </cell>
          <cell r="BV72" t="str">
            <v xml:space="preserve">Recycling is not our main business.  It is a necessary part to assist our customers and their customers, and to keep waste material out of landfill.  It is probably close to break even or a net cost for us. </v>
          </cell>
          <cell r="BY72" t="str">
            <v>Mix Specifications come from DPTI and they are reluctant to allow more recycled materials in their mix, even when proven not to affect the finished product</v>
          </cell>
          <cell r="CC72" t="str">
            <v>Currently no market for mixed plastics</v>
          </cell>
          <cell r="CJ72" t="str">
            <v>Strict guidelines set for the EPA SA WDF standards limits reuse option even though leachates determine no risk.</v>
          </cell>
          <cell r="CS72" t="str">
            <v>Increase in the waste levy, diversion targets and community engagement in the industry are all positive moves. This carries through – what is clear is that the economic price to clean recycled feedstocks is above what industry can afford. This suggests diversion tactics may be in need of an increase ahead of the previously communicated levels. The assumptions under which these settings were made were under completely different circumstances. 
Regulation is creating a more level playing field however there are clear examples where specifications are altered and exemptions are granted at will. The precedent being set that Renewal SA can operate a land bank, without previously enforced license conditions, and that 
projects can utilise waste fill that previously had a specification far tighter which industry worked to. Procurers need to face a clear and transparent set of rules and be bound by the same standards as the rest of the industry.      
Government agencies involved in specifying materials need to move faster and be more committed in actively substituting recovered/recycled materials in their projects (this is particularly where significant evidence and current global practice suggests the materials are comparable or better than virgin materials). 
It is essential that we continue to invest in a well-funded regulator (the SA EPA) so as to ensure a level-playing field for all market participants. 
Low cost operators stockpiling tyres forces prices down.
Insurance is becoming a huge cost</v>
          </cell>
          <cell r="CT72" t="str">
            <v>Market barriers into international markets e.g. Indonesia</v>
          </cell>
          <cell r="CW72" t="str">
            <v>One challenge for the running of the program is the cost of logistics, however this is not exclusive to SA.  Mobile Muster has over 3,500 public drop off points around Australia, with over 300 of these located in SA.  Along with a free post back option.  This ensure the program is easily accessible to all mobile phone users.</v>
          </cell>
          <cell r="DB72" t="str">
            <v xml:space="preserve">Low commodity prices are making receival costs high for recycling </v>
          </cell>
          <cell r="DC72" t="str">
            <v>Markets</v>
          </cell>
          <cell r="DF72" t="str">
            <v>Not at the current time. 
Getting rid of cash payments - don’t support this, it would probably sink them. They get a lot of Mum’s and Dad’s</v>
          </cell>
          <cell r="DG72" t="str">
            <v>High levels contamination - getting worse (zero contaminants rule of china)</v>
          </cell>
          <cell r="DI72" t="str">
            <v>Transport cost, same price to get material to Port Pirie as it is to Korea by boat
High energy cost
Carbon tax - $11 million per year previously, worried it will come back
Social license to operate
State of infrastructure
Nrystar borrowed a lot of money – may need to refinance at some stage</v>
          </cell>
          <cell r="DL72" t="str">
            <v>Broadly China sword - could be about stopping corruption at the wharf. Not accepting shred (even though they declare at 92% (8% residual waste)
40 year old shredder. Volumes don’t justify major tech investment
Sims beneficiation plant could change the market in multiple ways.</v>
          </cell>
          <cell r="DP72" t="str">
            <v>Contamination/quality limits expansion opportunities
Quality - turning away opportunities if risk is too high</v>
          </cell>
          <cell r="DT72" t="str">
            <v xml:space="preserve">Regulatory - Upper spencer gulf general red tape, delaying 3-4 month DA approval
Access to water - Langhorne cree going to get access pipeline 12 months
Inorganic contamination - mostly from MSW, don’t have preprocessing
</v>
          </cell>
          <cell r="EJ72" t="str">
            <v>Insurance company’s not wanting insure - doubled $75k to $135k (spontaneous combustion)</v>
          </cell>
          <cell r="EM72" t="str">
            <v xml:space="preserve">Yes
Compliance with EPA Biosolids Guidelines
Funding to improve efficiency of current operations.
Economic regulation limits capacity to adopt new technologies or invest in new products or markets. </v>
          </cell>
          <cell r="EO72" t="str">
            <v>Standard Business Operation Barriers. However unique to Charitable Recycling are;
•	the effect of lowering quality consumer goods (i.e. limited use clothing), and; 
•	illegal dumping of waste on charitable recyclers (community behaviour)</v>
          </cell>
          <cell r="ER72" t="str">
            <v>Diminishing market - audo industry, illegal operators.
China is a barrier. Plastics - others are tyring to get it in the metal loads and not notifying Sims. $m environmentlal upgrade here, others do nothing - want government to enforce standards on all recyclers. 
Tax dosgers, no cash for scrap and policing.</v>
          </cell>
          <cell r="ET72" t="str">
            <v>Chins Sword ( Positive )</v>
          </cell>
          <cell r="EV72" t="str">
            <v xml:space="preserve">Technology is now more important than ever and SKM has been upgrading its technological and processing abilities over the past 18 months. This has involved over $30,000,000 of latest generating equipment that has been – and continues to be – installed in all of SKM’s facilities. This has facilitated SKM now producing the best quality recycled paper and plastics in the 
country. 
Regulation and Govt funding support continue to be barriers. SKM provides privately funded essentially public infrastructure. Govt benefits from this, but historically has done very little to 
support this infrastructure and encourage and engender new infrastructure and initiatives in 
the industry. </v>
          </cell>
          <cell r="EZ72" t="str">
            <v>Lack of materials for waste derived fuels, current market for recycled products.</v>
          </cell>
          <cell r="FH72" t="str">
            <v>Large increases in energy costs
Poor market outlets for residual organics as stock feed
Poor market outlets for residual organics as soil improver</v>
          </cell>
          <cell r="FS72" t="str">
            <v>Contamination</v>
          </cell>
          <cell r="GD72" t="str">
            <v>Regulations are hindering operations, unfair playing field backyard organisations, lack of support from government and epa. Distance from markets</v>
          </cell>
          <cell r="GS72" t="str">
            <v>Increased gate fee due to contamination
Questions from council around development plan
Lack of grants wont stop their plans - looking for operation efficiencies nad to capture residues
Yes, we do have Regulatory barriers for our SA operations – e.g. EPA and BioSecurity.</v>
          </cell>
          <cell r="GU72" t="str">
            <v>Small market and limited customers</v>
          </cell>
          <cell r="GY72" t="str">
            <v>Energy from waste competitino in future
Mixed hard plastics - people not willing to sort
Landfill levy too low</v>
          </cell>
          <cell r="HD72" t="str">
            <v>Yes.
•	Market Volatility
•	Ocean freight rates &amp; shipping availability
•	Short contract terms do not assist capital investment.
•	Quality of incoming material to be processed is by far the biggest challenge</v>
          </cell>
          <cell r="HE72" t="str">
            <v>This government run facility is limited to receiving IWS from state government owned sites and/or projects. We have sought to expand the customer base to all levels of government and are waiting on the outcome of this from EPA.</v>
          </cell>
          <cell r="HH72" t="str">
            <v>No</v>
          </cell>
          <cell r="HI72" t="str">
            <v>No</v>
          </cell>
          <cell r="HJ72" t="str">
            <v>Our biggest issue is not having a facility to recycle plastics.</v>
          </cell>
        </row>
        <row r="73">
          <cell r="A73">
            <v>14</v>
          </cell>
          <cell r="B73" t="str">
            <v>Approximate Annual Sales Revenue (Turnover) from material collection, resource recovery and/or recycling activities</v>
          </cell>
          <cell r="K73" t="str">
            <v>5-10 million (displace natural gas)</v>
          </cell>
          <cell r="O73" t="str">
            <v>$859,685 incl GST (does not include processing expenses))</v>
          </cell>
          <cell r="W73" t="str">
            <v>6.5 million</v>
          </cell>
          <cell r="AB73" t="str">
            <v>Mulch from green waste and crushed rock from recycled C&amp;D</v>
          </cell>
          <cell r="AD73" t="str">
            <v>1.2 million</v>
          </cell>
          <cell r="AI73" t="str">
            <v>&lt;3million</v>
          </cell>
          <cell r="AN73" t="str">
            <v>Minimal revenue generated. Currently recycling cost is at break even.</v>
          </cell>
          <cell r="BE73" t="str">
            <v>95 tonnes x $400/tonne and you will get the picture
$38,000</v>
          </cell>
          <cell r="BH73" t="str">
            <v>15.5 million</v>
          </cell>
          <cell r="BY73" t="str">
            <v>$ no revenue is gained in this manner</v>
          </cell>
          <cell r="CJ73" t="str">
            <v>We reuse recycled materials in our company to manufacture an end product, we are not a “recycler”</v>
          </cell>
          <cell r="CS73" t="str">
            <v>$256.1 million</v>
          </cell>
          <cell r="CT73" t="str">
            <v>48.5 million</v>
          </cell>
          <cell r="CW73" t="str">
            <v>Mobile Muster is a true product stewardship scheme funded by the mobile phone industry.  Its revenue is derived through membership fees from handset manufacturers and networks service providers.</v>
          </cell>
          <cell r="DF73" t="str">
            <v>$12-13 million</v>
          </cell>
          <cell r="DG73" t="str">
            <v>Small proportion of total production - $3 mil</v>
          </cell>
          <cell r="DI73" t="str">
            <v xml:space="preserve">More than half of revenue from recycling 
100,000 lead - $2,000/tonne
5,000 tonne. Copper $6,000/tonn
Gold/silver in 
30,000 tonnes of zinc $3,000/tonn
300,000 tonnes of sulphuric acid – concentrate not residues </v>
          </cell>
          <cell r="DL73" t="str">
            <v>Increased due to volume and higher markets - $100 million</v>
          </cell>
          <cell r="DP73" t="str">
            <v>15 million</v>
          </cell>
          <cell r="DT73" t="str">
            <v>$15 million</v>
          </cell>
          <cell r="EJ73" t="str">
            <v>$2m</v>
          </cell>
          <cell r="EM73" t="str">
            <v>Biosolids are provided free of charge</v>
          </cell>
          <cell r="EO73" t="str">
            <v>$110 million p/a across 5 states and territories ($20 million in SA)</v>
          </cell>
          <cell r="ER73" t="str">
            <v>100 million</v>
          </cell>
          <cell r="FH73" t="str">
            <v>$25m derived from extracted products and wine making services</v>
          </cell>
          <cell r="FY73">
            <v>10000</v>
          </cell>
          <cell r="GD73">
            <v>500000</v>
          </cell>
          <cell r="GS73" t="str">
            <v>25 million</v>
          </cell>
          <cell r="GU73" t="str">
            <v>Not Sure as Visy is an international company and we can only have the exposure to the site level.</v>
          </cell>
          <cell r="GY73" t="str">
            <v>2.5-3 million</v>
          </cell>
          <cell r="HD73">
            <v>3000000</v>
          </cell>
          <cell r="HE73" t="str">
            <v>2 million</v>
          </cell>
          <cell r="HH73" t="str">
            <v>1.5 million</v>
          </cell>
          <cell r="HI73" t="str">
            <v>1.2-1.6 million</v>
          </cell>
        </row>
        <row r="74">
          <cell r="A74">
            <v>15</v>
          </cell>
          <cell r="B74" t="str">
            <v>What are the names of other recyclers in your area of the SA recycling industry?</v>
          </cell>
          <cell r="W74" t="str">
            <v>PGS</v>
          </cell>
          <cell r="AB74" t="str">
            <v>Southern Regional Waste Resource Authority</v>
          </cell>
          <cell r="AI74" t="str">
            <v>Advanced Recycling Technologies – Lonsdale S.A</v>
          </cell>
          <cell r="BH74" t="str">
            <v>All recyclers are online at www.recyclesa.com.au</v>
          </cell>
          <cell r="BJ74" t="str">
            <v>Sims, Onesteel, Paramount browns, Trading metals, Ferrous metals</v>
          </cell>
          <cell r="CS74" t="str">
            <v>Sims Metals, Access recycling, Orora, Visy, Downer, Top coat, Jeffries</v>
          </cell>
          <cell r="CT74" t="str">
            <v>Thomas foods international</v>
          </cell>
          <cell r="DB74" t="str">
            <v xml:space="preserve">Naracoorte Recyclables / Green Triangle Recycling </v>
          </cell>
          <cell r="DJ74" t="str">
            <v>Orora</v>
          </cell>
          <cell r="DL74" t="str">
            <v>McMahon's (export from Pirie - Port Augusta power station approx 30,000 tonnes)
Enviro scrap, Ferris enterprises, Sims</v>
          </cell>
          <cell r="DP74" t="str">
            <v>CCS - Cardboard collection services (Victoria)</v>
          </cell>
          <cell r="DT74" t="str">
            <v>Jeffries, SA Composters, IWS Northwaste</v>
          </cell>
          <cell r="EJ74" t="str">
            <v>Container reconditioning services - drums (they have had an insurance issue)
Cleanaway and JJ Richards, Mulhern - Oil</v>
          </cell>
          <cell r="EM74" t="str">
            <v>Trility-Victor Harbor MBR Plant
Various Council wastewater management schemes</v>
          </cell>
          <cell r="EO74" t="str">
            <v>Lifeline
St Vincent de Paul Society
Australian Red Cross
UnitingCare Wesley Country
Save the Children</v>
          </cell>
          <cell r="ER74" t="str">
            <v>Scouts Australia, OneSteel, Ferris Enterprises, Normetals, Paramount Browns, Trading metals</v>
          </cell>
          <cell r="ET74" t="str">
            <v>Visy, Orora, SKM, YCA</v>
          </cell>
          <cell r="EV74" t="str">
            <v>Visy NAWMA</v>
          </cell>
          <cell r="FH74" t="str">
            <v>None</v>
          </cell>
          <cell r="GD74" t="str">
            <v>Bay recycling</v>
          </cell>
          <cell r="GS74" t="str">
            <v>Neutrog</v>
          </cell>
          <cell r="HD74" t="str">
            <v>Vusy, SKM</v>
          </cell>
          <cell r="HE74" t="str">
            <v>Integrated Waste Services
Adelaide Resource Recovery
Southern Waste ResourceCo
Cleanaway, Inkerman 
Northern Adelaide Waste Management Authority.
Southern Region Waste Resource Authority</v>
          </cell>
          <cell r="HH74" t="str">
            <v>Resource Co and Adelaide Resource Recovery. I believe Bitumill may also sell into the market</v>
          </cell>
        </row>
        <row r="75">
          <cell r="A75">
            <v>16</v>
          </cell>
          <cell r="B75" t="str">
            <v xml:space="preserve">Would you like to be invited to an industry seminar by Zero Waste SA summarising the findings of the 2017-18 SA Recycling Activity survey? </v>
          </cell>
          <cell r="K75" t="str">
            <v>Yes</v>
          </cell>
          <cell r="W75" t="str">
            <v>Yes</v>
          </cell>
          <cell r="AB75" t="str">
            <v>Yes</v>
          </cell>
          <cell r="AD75" t="str">
            <v>No</v>
          </cell>
          <cell r="AI75" t="str">
            <v>Yes</v>
          </cell>
          <cell r="AN75" t="str">
            <v>No</v>
          </cell>
          <cell r="AV75" t="str">
            <v>No</v>
          </cell>
          <cell r="BE75" t="str">
            <v>Yes send invite to sales@coolfoam.com.au</v>
          </cell>
          <cell r="BH75" t="str">
            <v>No</v>
          </cell>
          <cell r="BJ75" t="str">
            <v>No</v>
          </cell>
          <cell r="BM75" t="str">
            <v>Yes</v>
          </cell>
          <cell r="BU75" t="str">
            <v>Yes</v>
          </cell>
          <cell r="BV75" t="str">
            <v>Yes</v>
          </cell>
          <cell r="BY75" t="str">
            <v>No</v>
          </cell>
          <cell r="CC75" t="str">
            <v>Yes</v>
          </cell>
          <cell r="CJ75" t="str">
            <v>No</v>
          </cell>
          <cell r="CS75" t="str">
            <v>Yes</v>
          </cell>
          <cell r="CT75" t="str">
            <v>No</v>
          </cell>
          <cell r="DB75" t="str">
            <v>No</v>
          </cell>
          <cell r="DC75" t="str">
            <v>No</v>
          </cell>
          <cell r="DF75" t="str">
            <v>No</v>
          </cell>
          <cell r="DG75" t="str">
            <v>No</v>
          </cell>
          <cell r="DI75" t="str">
            <v>Yes</v>
          </cell>
          <cell r="DJ75" t="str">
            <v>Yes</v>
          </cell>
          <cell r="DL75" t="str">
            <v>Yes</v>
          </cell>
          <cell r="DP75" t="str">
            <v>Yes</v>
          </cell>
          <cell r="DT75" t="str">
            <v>Yes</v>
          </cell>
          <cell r="DY75" t="str">
            <v>No</v>
          </cell>
          <cell r="EI75" t="str">
            <v>No</v>
          </cell>
          <cell r="EJ75" t="str">
            <v>No</v>
          </cell>
          <cell r="EM75" t="str">
            <v>Yes</v>
          </cell>
          <cell r="EO75" t="str">
            <v>Yes</v>
          </cell>
          <cell r="ER75" t="str">
            <v>Yes</v>
          </cell>
          <cell r="ET75" t="str">
            <v>No</v>
          </cell>
          <cell r="EV75" t="str">
            <v>Yes</v>
          </cell>
          <cell r="EZ75" t="str">
            <v>Yes</v>
          </cell>
          <cell r="FD75" t="str">
            <v>Yes</v>
          </cell>
          <cell r="FG75" t="str">
            <v>Yes</v>
          </cell>
          <cell r="FH75" t="str">
            <v>No</v>
          </cell>
          <cell r="FO75" t="str">
            <v>Yes</v>
          </cell>
          <cell r="FS75" t="str">
            <v>No</v>
          </cell>
          <cell r="FY75" t="str">
            <v>No</v>
          </cell>
          <cell r="GD75" t="str">
            <v>No, but would like to see the outcomes/information</v>
          </cell>
          <cell r="GF75" t="str">
            <v>Yes</v>
          </cell>
          <cell r="GS75" t="str">
            <v>Yes</v>
          </cell>
          <cell r="GU75" t="str">
            <v>Yes</v>
          </cell>
          <cell r="GY75" t="str">
            <v>Yes</v>
          </cell>
          <cell r="HD75" t="str">
            <v>Yes</v>
          </cell>
          <cell r="HE75" t="str">
            <v>Yes</v>
          </cell>
          <cell r="HH75" t="str">
            <v>Yes</v>
          </cell>
          <cell r="HI75" t="str">
            <v>Yes</v>
          </cell>
          <cell r="HJ75" t="str">
            <v>No</v>
          </cell>
        </row>
        <row r="76">
          <cell r="B76" t="str">
            <v>Other comments</v>
          </cell>
        </row>
      </sheetData>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sheetData sheetId="22"/>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sheetData sheetId="37"/>
      <sheetData sheetId="38" refreshError="1"/>
      <sheetData sheetId="39" refreshError="1"/>
      <sheetData sheetId="40" refreshError="1"/>
      <sheetData sheetId="41" refreshError="1"/>
      <sheetData sheetId="42" refreshError="1"/>
      <sheetData sheetId="43" refreshError="1"/>
      <sheetData sheetId="44"/>
      <sheetData sheetId="45"/>
      <sheetData sheetId="46"/>
      <sheetData sheetId="47"/>
      <sheetData sheetId="48"/>
      <sheetData sheetId="49"/>
      <sheetData sheetId="50"/>
      <sheetData sheetId="51" refreshError="1"/>
      <sheetData sheetId="52"/>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sheetData sheetId="63">
        <row r="26">
          <cell r="A26" t="str">
            <v>Aluminium</v>
          </cell>
        </row>
      </sheetData>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rvey Stats"/>
      <sheetName val="Exec Sum Pres"/>
      <sheetName val="Mat Data Pres"/>
      <sheetName val="Key Stats"/>
      <sheetName val="Landfill Data"/>
      <sheetName val="Env Benefits"/>
      <sheetName val="RRValue$"/>
      <sheetName val="Uncertainty"/>
      <sheetName val="Compute Data"/>
      <sheetName val="Industry Data 1"/>
      <sheetName val="Industry Data 2"/>
      <sheetName val="FTEs"/>
      <sheetName val="Masonry-"/>
      <sheetName val="ASP"/>
      <sheetName val="BRK"/>
      <sheetName val="CON"/>
      <sheetName val="PLA"/>
      <sheetName val="CFR1"/>
      <sheetName val="CFR2"/>
      <sheetName val="Metals-"/>
      <sheetName val="STE"/>
      <sheetName val="ALU"/>
      <sheetName val="NFER"/>
      <sheetName val="Organics-"/>
      <sheetName val="FORG"/>
      <sheetName val="GAR"/>
      <sheetName val="TIM"/>
      <sheetName val="MREN"/>
      <sheetName val="GRE"/>
      <sheetName val="BIO"/>
      <sheetName val="OORG"/>
      <sheetName val="Organics OTHER"/>
      <sheetName val="ZEUS  Data 09-10 to 16-17"/>
      <sheetName val="ZEUS 16-17"/>
      <sheetName val="Pap &amp; Cardbd-"/>
      <sheetName val="CAR"/>
      <sheetName val="LPB"/>
      <sheetName val="MAG"/>
      <sheetName val="NEW"/>
      <sheetName val="PHO"/>
      <sheetName val="Magazines &amp; News"/>
      <sheetName val="PAP"/>
      <sheetName val="Plastics-"/>
      <sheetName val="PET"/>
      <sheetName val="HDPE"/>
      <sheetName val="PVC"/>
      <sheetName val="LDPE"/>
      <sheetName val="PP"/>
      <sheetName val="PS"/>
      <sheetName val="MIX"/>
      <sheetName val="Glass"/>
      <sheetName val="GLA"/>
      <sheetName val="Other-"/>
      <sheetName val="FLY"/>
      <sheetName val="FSA"/>
      <sheetName val="L&amp;T"/>
      <sheetName val="RUB"/>
      <sheetName val="ALT"/>
      <sheetName val="E-waste-"/>
      <sheetName val="Ewaste"/>
      <sheetName val="Reuse-"/>
      <sheetName val="CDL Data 16-17"/>
      <sheetName val="Pack Analysis"/>
      <sheetName val="Export Data 16-17"/>
      <sheetName val="DFAT-Export Data Previous Anlys"/>
      <sheetName val="REU"/>
      <sheetName val="Online survey data entry 13-14"/>
      <sheetName val="Export Data 12-13"/>
      <sheetName val="Glossary"/>
      <sheetName val="LFill Composition"/>
      <sheetName val="Infra Plan EF"/>
      <sheetName val="SEnv Data"/>
      <sheetName val="OLD ZEUS 11-12"/>
      <sheetName val="Emission Factors"/>
      <sheetName val="2013-14 Plastics Analysis"/>
      <sheetName val="OLD Landfill Data 10-11"/>
      <sheetName val="OLD Industry Data (12-13)"/>
      <sheetName val="OLD Online survey data (12-13)"/>
      <sheetName val="OLD (12-13) Plastics Analysis"/>
      <sheetName val="OLD (11-12) Data"/>
      <sheetName val="OLD (10-11) Ind Data"/>
      <sheetName val="OLD (09-10)Ind Data"/>
      <sheetName val="notes page"/>
      <sheetName val="sources&amp;endproducts"/>
      <sheetName val="09-10 Visy Split"/>
      <sheetName val="09-10 MRF split"/>
      <sheetName val="MSW MRF splits"/>
    </sheetNames>
    <sheetDataSet>
      <sheetData sheetId="0"/>
      <sheetData sheetId="1"/>
      <sheetData sheetId="2"/>
      <sheetData sheetId="3"/>
      <sheetData sheetId="4"/>
      <sheetData sheetId="5"/>
      <sheetData sheetId="6"/>
      <sheetData sheetId="7"/>
      <sheetData sheetId="8">
        <row r="457">
          <cell r="A457" t="str">
            <v>Data estimations/ accuracy/ error based on year of survey data used</v>
          </cell>
        </row>
        <row r="458">
          <cell r="A458" t="str">
            <v>Old data</v>
          </cell>
          <cell r="B458" t="str">
            <v>2013-14 or earier = +-</v>
          </cell>
          <cell r="C458">
            <v>0.3</v>
          </cell>
        </row>
        <row r="459">
          <cell r="A459" t="str">
            <v>13-14 data</v>
          </cell>
          <cell r="B459" t="str">
            <v>2013-14 or earier = +-</v>
          </cell>
          <cell r="C459">
            <v>0.3</v>
          </cell>
        </row>
        <row r="460">
          <cell r="A460" t="str">
            <v>14-15 data</v>
          </cell>
          <cell r="B460" t="str">
            <v>2014-15 = +-</v>
          </cell>
          <cell r="C460">
            <v>0.2</v>
          </cell>
        </row>
        <row r="461">
          <cell r="A461" t="str">
            <v>15-16 data</v>
          </cell>
          <cell r="B461" t="str">
            <v>2015-16 = +-</v>
          </cell>
          <cell r="C461">
            <v>0.2</v>
          </cell>
        </row>
        <row r="462">
          <cell r="A462" t="str">
            <v>16-17 data</v>
          </cell>
          <cell r="B462" t="str">
            <v>2016-17 data but accuracy not provided = +-</v>
          </cell>
          <cell r="C462">
            <v>0.1</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Set>
  </externalBook>
</externalLink>
</file>

<file path=xl/theme/theme1.xml><?xml version="1.0" encoding="utf-8"?>
<a:theme xmlns:a="http://schemas.openxmlformats.org/drawingml/2006/main" name="Office Theme">
  <a:themeElements>
    <a:clrScheme name="Rawtec">
      <a:dk1>
        <a:sysClr val="windowText" lastClr="000000"/>
      </a:dk1>
      <a:lt1>
        <a:sysClr val="window" lastClr="FFFFFF"/>
      </a:lt1>
      <a:dk2>
        <a:srgbClr val="59AED7"/>
      </a:dk2>
      <a:lt2>
        <a:srgbClr val="FFFFFF"/>
      </a:lt2>
      <a:accent1>
        <a:srgbClr val="3B5D8D"/>
      </a:accent1>
      <a:accent2>
        <a:srgbClr val="A8C836"/>
      </a:accent2>
      <a:accent3>
        <a:srgbClr val="59AED7"/>
      </a:accent3>
      <a:accent4>
        <a:srgbClr val="3B5D8D"/>
      </a:accent4>
      <a:accent5>
        <a:srgbClr val="A8C836"/>
      </a:accent5>
      <a:accent6>
        <a:srgbClr val="59AED7"/>
      </a:accent6>
      <a:hlink>
        <a:srgbClr val="0000FF"/>
      </a:hlink>
      <a:folHlink>
        <a:srgbClr val="7F7F7F"/>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H64"/>
  <sheetViews>
    <sheetView tabSelected="1" zoomScale="115" zoomScaleNormal="115" workbookViewId="0">
      <selection activeCell="B40" sqref="B40:D50"/>
    </sheetView>
  </sheetViews>
  <sheetFormatPr defaultColWidth="0" defaultRowHeight="16.5" x14ac:dyDescent="0.3"/>
  <cols>
    <col min="1" max="1" width="0.5703125" style="459" customWidth="1"/>
    <col min="2" max="2" width="79.7109375" style="498" customWidth="1"/>
    <col min="3" max="3" width="11.7109375" style="498" customWidth="1"/>
    <col min="4" max="4" width="40.7109375" style="459" customWidth="1"/>
    <col min="5" max="5" width="2" style="459" customWidth="1"/>
    <col min="6" max="7" width="40.85546875" style="459" hidden="1" customWidth="1"/>
    <col min="8" max="16384" width="118" style="459" hidden="1"/>
  </cols>
  <sheetData>
    <row r="1" spans="1:8" ht="30.75" x14ac:dyDescent="0.5">
      <c r="A1" s="456"/>
      <c r="B1" s="457" t="s">
        <v>358</v>
      </c>
      <c r="C1" s="457"/>
      <c r="D1" s="458"/>
      <c r="E1" s="456"/>
    </row>
    <row r="2" spans="1:8" x14ac:dyDescent="0.3">
      <c r="A2" s="456"/>
      <c r="B2" s="460" t="s">
        <v>143</v>
      </c>
      <c r="C2" s="461"/>
      <c r="D2" s="462"/>
      <c r="E2" s="456"/>
      <c r="H2" s="463"/>
    </row>
    <row r="3" spans="1:8" x14ac:dyDescent="0.3">
      <c r="A3" s="456"/>
      <c r="B3" s="532" t="s">
        <v>384</v>
      </c>
      <c r="C3" s="532"/>
      <c r="D3" s="462"/>
      <c r="E3" s="456"/>
      <c r="H3" s="463"/>
    </row>
    <row r="4" spans="1:8" x14ac:dyDescent="0.3">
      <c r="A4" s="456"/>
      <c r="B4" s="532"/>
      <c r="C4" s="532"/>
      <c r="D4" s="462"/>
      <c r="E4" s="456"/>
      <c r="H4" s="463"/>
    </row>
    <row r="5" spans="1:8" x14ac:dyDescent="0.3">
      <c r="A5" s="456"/>
      <c r="B5" s="532"/>
      <c r="C5" s="532"/>
      <c r="D5" s="462"/>
      <c r="E5" s="456"/>
      <c r="H5" s="463"/>
    </row>
    <row r="6" spans="1:8" x14ac:dyDescent="0.3">
      <c r="A6" s="456"/>
      <c r="B6" s="532"/>
      <c r="C6" s="532"/>
      <c r="D6" s="462"/>
      <c r="E6" s="456"/>
      <c r="H6" s="463"/>
    </row>
    <row r="7" spans="1:8" x14ac:dyDescent="0.3">
      <c r="A7" s="456"/>
      <c r="B7" s="532"/>
      <c r="C7" s="532"/>
      <c r="D7" s="462"/>
      <c r="E7" s="456"/>
      <c r="H7" s="463"/>
    </row>
    <row r="8" spans="1:8" x14ac:dyDescent="0.3">
      <c r="A8" s="456"/>
      <c r="B8" s="532"/>
      <c r="C8" s="532"/>
      <c r="D8" s="462"/>
      <c r="E8" s="456"/>
      <c r="H8" s="463"/>
    </row>
    <row r="9" spans="1:8" x14ac:dyDescent="0.3">
      <c r="A9" s="456"/>
      <c r="B9" s="532"/>
      <c r="C9" s="532"/>
      <c r="D9" s="531" t="s">
        <v>295</v>
      </c>
      <c r="E9" s="456"/>
      <c r="H9" s="463"/>
    </row>
    <row r="10" spans="1:8" s="463" customFormat="1" x14ac:dyDescent="0.25">
      <c r="A10" s="464"/>
      <c r="B10" s="465"/>
      <c r="C10" s="466"/>
      <c r="D10" s="531"/>
      <c r="E10" s="464"/>
    </row>
    <row r="11" spans="1:8" s="463" customFormat="1" x14ac:dyDescent="0.3">
      <c r="A11" s="464"/>
      <c r="B11" s="460" t="s">
        <v>356</v>
      </c>
      <c r="C11" s="461"/>
      <c r="D11" s="464"/>
      <c r="E11" s="464"/>
    </row>
    <row r="12" spans="1:8" s="463" customFormat="1" ht="14.25" x14ac:dyDescent="0.25">
      <c r="A12" s="464"/>
      <c r="B12" s="533" t="s">
        <v>371</v>
      </c>
      <c r="C12" s="533"/>
      <c r="D12" s="533"/>
      <c r="E12" s="464"/>
    </row>
    <row r="13" spans="1:8" x14ac:dyDescent="0.3">
      <c r="A13" s="456"/>
      <c r="B13" s="533"/>
      <c r="C13" s="533"/>
      <c r="D13" s="533"/>
      <c r="E13" s="456"/>
      <c r="H13" s="463"/>
    </row>
    <row r="14" spans="1:8" x14ac:dyDescent="0.3">
      <c r="A14" s="456"/>
      <c r="B14" s="533"/>
      <c r="C14" s="533"/>
      <c r="D14" s="533"/>
      <c r="E14" s="456"/>
      <c r="H14" s="463"/>
    </row>
    <row r="15" spans="1:8" x14ac:dyDescent="0.3">
      <c r="A15" s="456"/>
      <c r="B15" s="533"/>
      <c r="C15" s="533"/>
      <c r="D15" s="533"/>
      <c r="E15" s="456"/>
      <c r="H15" s="463"/>
    </row>
    <row r="16" spans="1:8" x14ac:dyDescent="0.3">
      <c r="A16" s="456"/>
      <c r="B16" s="533"/>
      <c r="C16" s="533"/>
      <c r="D16" s="533"/>
      <c r="E16" s="456"/>
      <c r="H16" s="463"/>
    </row>
    <row r="17" spans="1:8" x14ac:dyDescent="0.3">
      <c r="A17" s="456"/>
      <c r="B17" s="533"/>
      <c r="C17" s="533"/>
      <c r="D17" s="533"/>
      <c r="E17" s="456"/>
      <c r="H17" s="463"/>
    </row>
    <row r="18" spans="1:8" x14ac:dyDescent="0.3">
      <c r="A18" s="456"/>
      <c r="B18" s="533"/>
      <c r="C18" s="533"/>
      <c r="D18" s="533"/>
      <c r="E18" s="456"/>
      <c r="H18" s="463"/>
    </row>
    <row r="19" spans="1:8" s="463" customFormat="1" x14ac:dyDescent="0.25">
      <c r="A19" s="464"/>
      <c r="B19" s="467"/>
      <c r="C19" s="466"/>
      <c r="D19" s="467"/>
      <c r="E19" s="464"/>
    </row>
    <row r="20" spans="1:8" s="472" customFormat="1" x14ac:dyDescent="0.3">
      <c r="A20" s="468"/>
      <c r="B20" s="535" t="s">
        <v>361</v>
      </c>
      <c r="C20" s="536"/>
      <c r="D20" s="537"/>
      <c r="E20" s="469"/>
      <c r="F20" s="470"/>
      <c r="G20" s="470"/>
      <c r="H20" s="471"/>
    </row>
    <row r="21" spans="1:8" s="472" customFormat="1" ht="15.4" customHeight="1" x14ac:dyDescent="0.3">
      <c r="A21" s="468"/>
      <c r="B21" s="534" t="s">
        <v>372</v>
      </c>
      <c r="C21" s="534"/>
      <c r="D21" s="534"/>
      <c r="E21" s="469"/>
      <c r="F21" s="473"/>
      <c r="G21" s="473"/>
      <c r="H21" s="471"/>
    </row>
    <row r="22" spans="1:8" s="477" customFormat="1" ht="4.1500000000000004" customHeight="1" thickBot="1" x14ac:dyDescent="0.3">
      <c r="A22" s="474"/>
      <c r="B22" s="475"/>
      <c r="C22" s="475"/>
      <c r="D22" s="475"/>
      <c r="E22" s="464"/>
      <c r="F22" s="476"/>
      <c r="G22" s="476"/>
      <c r="H22" s="463"/>
    </row>
    <row r="23" spans="1:8" s="477" customFormat="1" ht="15" thickBot="1" x14ac:dyDescent="0.3">
      <c r="A23" s="474"/>
      <c r="B23" s="478" t="s">
        <v>357</v>
      </c>
      <c r="C23" s="479"/>
      <c r="D23" s="480"/>
      <c r="E23" s="464"/>
      <c r="F23" s="481" t="s">
        <v>44</v>
      </c>
      <c r="G23" s="482"/>
      <c r="H23" s="463"/>
    </row>
    <row r="24" spans="1:8" s="486" customFormat="1" ht="15" customHeight="1" x14ac:dyDescent="0.25">
      <c r="A24" s="483"/>
      <c r="B24" s="539" t="s">
        <v>359</v>
      </c>
      <c r="C24" s="540"/>
      <c r="D24" s="541"/>
      <c r="E24" s="484"/>
      <c r="F24" s="548" t="s">
        <v>294</v>
      </c>
      <c r="G24" s="548"/>
      <c r="H24" s="485"/>
    </row>
    <row r="25" spans="1:8" s="486" customFormat="1" ht="14.65" customHeight="1" x14ac:dyDescent="0.25">
      <c r="A25" s="483"/>
      <c r="B25" s="542"/>
      <c r="C25" s="543"/>
      <c r="D25" s="544"/>
      <c r="E25" s="484"/>
      <c r="F25" s="549"/>
      <c r="G25" s="549"/>
      <c r="H25" s="485"/>
    </row>
    <row r="26" spans="1:8" s="486" customFormat="1" ht="14.65" customHeight="1" x14ac:dyDescent="0.25">
      <c r="A26" s="483"/>
      <c r="B26" s="542"/>
      <c r="C26" s="543"/>
      <c r="D26" s="544"/>
      <c r="E26" s="484"/>
      <c r="F26" s="549"/>
      <c r="G26" s="549"/>
      <c r="H26" s="485"/>
    </row>
    <row r="27" spans="1:8" s="486" customFormat="1" ht="14.65" customHeight="1" x14ac:dyDescent="0.25">
      <c r="A27" s="483"/>
      <c r="B27" s="542"/>
      <c r="C27" s="543"/>
      <c r="D27" s="544"/>
      <c r="E27" s="484"/>
      <c r="F27" s="549"/>
      <c r="G27" s="549"/>
      <c r="H27" s="485"/>
    </row>
    <row r="28" spans="1:8" s="486" customFormat="1" ht="14.65" customHeight="1" x14ac:dyDescent="0.25">
      <c r="A28" s="483"/>
      <c r="B28" s="542"/>
      <c r="C28" s="543"/>
      <c r="D28" s="544"/>
      <c r="E28" s="484"/>
      <c r="F28" s="549"/>
      <c r="G28" s="549"/>
      <c r="H28" s="485"/>
    </row>
    <row r="29" spans="1:8" s="477" customFormat="1" ht="14.65" customHeight="1" x14ac:dyDescent="0.25">
      <c r="A29" s="474"/>
      <c r="B29" s="542"/>
      <c r="C29" s="543"/>
      <c r="D29" s="544"/>
      <c r="E29" s="464"/>
      <c r="F29" s="549"/>
      <c r="G29" s="549"/>
      <c r="H29" s="463"/>
    </row>
    <row r="30" spans="1:8" s="477" customFormat="1" ht="15" thickBot="1" x14ac:dyDescent="0.3">
      <c r="A30" s="474"/>
      <c r="B30" s="545"/>
      <c r="C30" s="546"/>
      <c r="D30" s="547"/>
      <c r="E30" s="464"/>
      <c r="F30" s="549"/>
      <c r="G30" s="549"/>
      <c r="H30" s="463"/>
    </row>
    <row r="31" spans="1:8" s="477" customFormat="1" ht="5.65" customHeight="1" x14ac:dyDescent="0.15">
      <c r="A31" s="474"/>
      <c r="B31" s="487"/>
      <c r="C31" s="487"/>
      <c r="D31" s="188"/>
      <c r="E31" s="464"/>
      <c r="F31" s="183"/>
      <c r="G31" s="183"/>
      <c r="H31" s="463"/>
    </row>
    <row r="32" spans="1:8" s="477" customFormat="1" ht="14.65" customHeight="1" x14ac:dyDescent="0.25">
      <c r="A32" s="474"/>
      <c r="B32" s="534" t="s">
        <v>362</v>
      </c>
      <c r="C32" s="534"/>
      <c r="D32" s="534"/>
      <c r="E32" s="464"/>
      <c r="F32" s="183"/>
      <c r="G32" s="183"/>
      <c r="H32" s="463"/>
    </row>
    <row r="33" spans="1:8" s="477" customFormat="1" ht="1.9" customHeight="1" thickBot="1" x14ac:dyDescent="0.2">
      <c r="A33" s="474"/>
      <c r="B33" s="487"/>
      <c r="C33" s="487"/>
      <c r="D33" s="188"/>
      <c r="E33" s="464"/>
      <c r="F33" s="183"/>
      <c r="G33" s="183"/>
      <c r="H33" s="463"/>
    </row>
    <row r="34" spans="1:8" s="477" customFormat="1" ht="15" thickBot="1" x14ac:dyDescent="0.3">
      <c r="A34" s="474"/>
      <c r="B34" s="488" t="s">
        <v>159</v>
      </c>
      <c r="C34" s="489"/>
      <c r="D34" s="490"/>
      <c r="E34" s="464"/>
      <c r="F34" s="413" t="s">
        <v>160</v>
      </c>
      <c r="G34" s="414"/>
      <c r="H34" s="463"/>
    </row>
    <row r="35" spans="1:8" s="477" customFormat="1" ht="14.25" x14ac:dyDescent="0.25">
      <c r="A35" s="474"/>
      <c r="B35" s="550" t="s">
        <v>385</v>
      </c>
      <c r="C35" s="551"/>
      <c r="D35" s="400">
        <f>'Better practice vs typical'!$B$4</f>
        <v>6.8872121710526313E-2</v>
      </c>
      <c r="E35" s="464"/>
      <c r="F35" s="415" t="s">
        <v>24</v>
      </c>
      <c r="G35" s="416">
        <f>'Better practice vs typical'!$B$13</f>
        <v>0.18497410381321897</v>
      </c>
      <c r="H35" s="463"/>
    </row>
    <row r="36" spans="1:8" s="477" customFormat="1" ht="15" x14ac:dyDescent="0.25">
      <c r="A36" s="474"/>
      <c r="B36" s="552" t="s">
        <v>21</v>
      </c>
      <c r="C36" s="553"/>
      <c r="D36" s="401">
        <f>'Better practice vs typical'!$B$5</f>
        <v>0.98436397723854085</v>
      </c>
      <c r="E36" s="464"/>
      <c r="F36" s="417" t="s">
        <v>21</v>
      </c>
      <c r="G36" s="418">
        <f>'Better practice vs typical'!$B$14</f>
        <v>0.58035073632889933</v>
      </c>
      <c r="H36" s="463"/>
    </row>
    <row r="37" spans="1:8" s="477" customFormat="1" ht="15.75" thickBot="1" x14ac:dyDescent="0.3">
      <c r="A37" s="474"/>
      <c r="B37" s="554" t="s">
        <v>45</v>
      </c>
      <c r="C37" s="555"/>
      <c r="D37" s="402">
        <f>'Better practice vs typical'!$B$6</f>
        <v>0.86102662382788397</v>
      </c>
      <c r="E37" s="464"/>
      <c r="F37" s="419" t="s">
        <v>45</v>
      </c>
      <c r="G37" s="420">
        <f>'Better practice vs typical'!$B$15</f>
        <v>0.42694446929935559</v>
      </c>
      <c r="H37" s="463"/>
    </row>
    <row r="38" spans="1:8" s="477" customFormat="1" ht="14.25" x14ac:dyDescent="0.25">
      <c r="A38" s="474"/>
      <c r="B38" s="491"/>
      <c r="C38" s="491"/>
      <c r="D38" s="491"/>
      <c r="E38" s="464"/>
      <c r="H38" s="463"/>
    </row>
    <row r="39" spans="1:8" s="463" customFormat="1" x14ac:dyDescent="0.3">
      <c r="A39" s="464"/>
      <c r="B39" s="460" t="s">
        <v>248</v>
      </c>
      <c r="C39" s="461"/>
      <c r="D39" s="492"/>
      <c r="E39" s="464"/>
    </row>
    <row r="40" spans="1:8" s="463" customFormat="1" ht="14.25" x14ac:dyDescent="0.25">
      <c r="A40" s="464"/>
      <c r="B40" s="532" t="s">
        <v>376</v>
      </c>
      <c r="C40" s="532"/>
      <c r="D40" s="532"/>
      <c r="E40" s="464"/>
    </row>
    <row r="41" spans="1:8" s="463" customFormat="1" ht="14.25" x14ac:dyDescent="0.25">
      <c r="A41" s="464"/>
      <c r="B41" s="532"/>
      <c r="C41" s="532"/>
      <c r="D41" s="532"/>
      <c r="E41" s="464"/>
    </row>
    <row r="42" spans="1:8" s="463" customFormat="1" ht="14.25" x14ac:dyDescent="0.25">
      <c r="A42" s="464"/>
      <c r="B42" s="532"/>
      <c r="C42" s="532"/>
      <c r="D42" s="532"/>
      <c r="E42" s="464"/>
    </row>
    <row r="43" spans="1:8" s="463" customFormat="1" ht="14.25" x14ac:dyDescent="0.25">
      <c r="A43" s="464"/>
      <c r="B43" s="532"/>
      <c r="C43" s="532"/>
      <c r="D43" s="532"/>
      <c r="E43" s="464"/>
    </row>
    <row r="44" spans="1:8" s="463" customFormat="1" ht="14.25" x14ac:dyDescent="0.25">
      <c r="A44" s="464"/>
      <c r="B44" s="532"/>
      <c r="C44" s="532"/>
      <c r="D44" s="532"/>
      <c r="E44" s="464"/>
    </row>
    <row r="45" spans="1:8" s="463" customFormat="1" ht="14.25" x14ac:dyDescent="0.25">
      <c r="A45" s="464"/>
      <c r="B45" s="532"/>
      <c r="C45" s="532"/>
      <c r="D45" s="532"/>
      <c r="E45" s="464"/>
    </row>
    <row r="46" spans="1:8" s="463" customFormat="1" ht="14.25" x14ac:dyDescent="0.25">
      <c r="A46" s="464"/>
      <c r="B46" s="532"/>
      <c r="C46" s="532"/>
      <c r="D46" s="532"/>
      <c r="E46" s="464"/>
    </row>
    <row r="47" spans="1:8" s="463" customFormat="1" ht="14.25" x14ac:dyDescent="0.25">
      <c r="A47" s="464"/>
      <c r="B47" s="532"/>
      <c r="C47" s="532"/>
      <c r="D47" s="532"/>
      <c r="E47" s="464"/>
    </row>
    <row r="48" spans="1:8" s="463" customFormat="1" ht="14.25" x14ac:dyDescent="0.25">
      <c r="A48" s="464"/>
      <c r="B48" s="532"/>
      <c r="C48" s="532"/>
      <c r="D48" s="532"/>
      <c r="E48" s="464"/>
    </row>
    <row r="49" spans="1:5" s="463" customFormat="1" ht="14.65" customHeight="1" x14ac:dyDescent="0.25">
      <c r="A49" s="464"/>
      <c r="B49" s="532"/>
      <c r="C49" s="532"/>
      <c r="D49" s="532"/>
      <c r="E49" s="464"/>
    </row>
    <row r="50" spans="1:5" s="463" customFormat="1" ht="14.65" customHeight="1" x14ac:dyDescent="0.25">
      <c r="A50" s="464"/>
      <c r="B50" s="532"/>
      <c r="C50" s="532"/>
      <c r="D50" s="532"/>
      <c r="E50" s="464"/>
    </row>
    <row r="51" spans="1:5" s="477" customFormat="1" ht="8.25" x14ac:dyDescent="0.25">
      <c r="A51" s="474"/>
      <c r="B51" s="493"/>
      <c r="C51" s="493"/>
      <c r="D51" s="494"/>
      <c r="E51" s="474"/>
    </row>
    <row r="52" spans="1:5" s="463" customFormat="1" ht="15.4" customHeight="1" x14ac:dyDescent="0.25">
      <c r="A52" s="464"/>
      <c r="B52" s="495" t="s">
        <v>144</v>
      </c>
      <c r="C52" s="495"/>
      <c r="D52" s="495"/>
      <c r="E52" s="464"/>
    </row>
    <row r="53" spans="1:5" s="463" customFormat="1" ht="15.4" customHeight="1" x14ac:dyDescent="0.25">
      <c r="A53" s="464"/>
      <c r="B53" s="538" t="s">
        <v>360</v>
      </c>
      <c r="C53" s="538"/>
      <c r="D53" s="538"/>
      <c r="E53" s="464"/>
    </row>
    <row r="54" spans="1:5" s="463" customFormat="1" ht="15.4" customHeight="1" x14ac:dyDescent="0.25">
      <c r="A54" s="464"/>
      <c r="B54" s="538"/>
      <c r="C54" s="538"/>
      <c r="D54" s="538"/>
      <c r="E54" s="464"/>
    </row>
    <row r="55" spans="1:5" s="463" customFormat="1" ht="15.4" customHeight="1" x14ac:dyDescent="0.25">
      <c r="A55" s="464"/>
      <c r="B55" s="538"/>
      <c r="C55" s="538"/>
      <c r="D55" s="538"/>
      <c r="E55" s="464"/>
    </row>
    <row r="56" spans="1:5" s="463" customFormat="1" ht="15.4" customHeight="1" x14ac:dyDescent="0.25">
      <c r="A56" s="464"/>
      <c r="B56" s="538"/>
      <c r="C56" s="538"/>
      <c r="D56" s="538"/>
      <c r="E56" s="464"/>
    </row>
    <row r="57" spans="1:5" s="463" customFormat="1" ht="15.4" customHeight="1" x14ac:dyDescent="0.25">
      <c r="A57" s="464"/>
      <c r="B57" s="538"/>
      <c r="C57" s="538"/>
      <c r="D57" s="538"/>
      <c r="E57" s="464"/>
    </row>
    <row r="58" spans="1:5" s="463" customFormat="1" ht="15.4" customHeight="1" x14ac:dyDescent="0.25">
      <c r="A58" s="464"/>
      <c r="B58" s="538"/>
      <c r="C58" s="538"/>
      <c r="D58" s="538"/>
      <c r="E58" s="464"/>
    </row>
    <row r="59" spans="1:5" s="463" customFormat="1" ht="15.4" customHeight="1" x14ac:dyDescent="0.25">
      <c r="A59" s="464"/>
      <c r="B59" s="538"/>
      <c r="C59" s="538"/>
      <c r="D59" s="538"/>
      <c r="E59" s="464"/>
    </row>
    <row r="60" spans="1:5" s="463" customFormat="1" ht="15.4" customHeight="1" x14ac:dyDescent="0.25">
      <c r="A60" s="464"/>
      <c r="B60" s="538"/>
      <c r="C60" s="538"/>
      <c r="D60" s="538"/>
      <c r="E60" s="464"/>
    </row>
    <row r="61" spans="1:5" s="463" customFormat="1" ht="15.4" customHeight="1" x14ac:dyDescent="0.25">
      <c r="A61" s="464"/>
      <c r="B61" s="538"/>
      <c r="C61" s="538"/>
      <c r="D61" s="538"/>
      <c r="E61" s="464"/>
    </row>
    <row r="62" spans="1:5" s="463" customFormat="1" ht="15.4" customHeight="1" x14ac:dyDescent="0.25">
      <c r="A62" s="464"/>
      <c r="B62" s="538"/>
      <c r="C62" s="538"/>
      <c r="D62" s="538"/>
      <c r="E62" s="464"/>
    </row>
    <row r="63" spans="1:5" s="463" customFormat="1" ht="15.4" customHeight="1" x14ac:dyDescent="0.25">
      <c r="A63" s="464"/>
      <c r="B63" s="538"/>
      <c r="C63" s="538"/>
      <c r="D63" s="538"/>
      <c r="E63" s="464"/>
    </row>
    <row r="64" spans="1:5" s="497" customFormat="1" ht="14.65" customHeight="1" x14ac:dyDescent="0.25">
      <c r="A64" s="496"/>
      <c r="B64" s="538"/>
      <c r="C64" s="538"/>
      <c r="D64" s="538"/>
      <c r="E64" s="496"/>
    </row>
  </sheetData>
  <sheetProtection algorithmName="SHA-512" hashValue="Z6MY2POc6Ski7sPnP2c5XVno/HvjQDWHY26CIXsPHzglNrN68UZdRhjSvKEyuY+mGjWhhj6xOaVQSJJN8Qo+kw==" saltValue="nFvpCYjiUAqcBGbfhirVpA==" spinCount="100000" sheet="1" objects="1" selectLockedCells="1" selectUnlockedCells="1"/>
  <mergeCells count="13">
    <mergeCell ref="B40:D50"/>
    <mergeCell ref="B53:D64"/>
    <mergeCell ref="B24:D30"/>
    <mergeCell ref="F24:G30"/>
    <mergeCell ref="B32:D32"/>
    <mergeCell ref="B35:C35"/>
    <mergeCell ref="B36:C36"/>
    <mergeCell ref="B37:C37"/>
    <mergeCell ref="D9:D10"/>
    <mergeCell ref="B3:C9"/>
    <mergeCell ref="B12:D18"/>
    <mergeCell ref="B21:D21"/>
    <mergeCell ref="B20:D20"/>
  </mergeCells>
  <pageMargins left="0.7" right="0.7" top="0.75" bottom="0.75" header="0.3" footer="0.3"/>
  <pageSetup paperSize="9" scale="97" orientation="portrait" horizontalDpi="4294967295" verticalDpi="4294967295"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V49"/>
  <sheetViews>
    <sheetView topLeftCell="A19" zoomScaleNormal="100" workbookViewId="0">
      <selection activeCell="E13" sqref="E13"/>
    </sheetView>
  </sheetViews>
  <sheetFormatPr defaultColWidth="0" defaultRowHeight="15" zeroHeight="1" x14ac:dyDescent="0.25"/>
  <cols>
    <col min="1" max="1" width="1.5703125" customWidth="1"/>
    <col min="2" max="2" width="17.85546875" style="156" customWidth="1"/>
    <col min="3" max="3" width="26.42578125" style="156" customWidth="1"/>
    <col min="4" max="4" width="22.7109375" style="156" customWidth="1"/>
    <col min="5" max="5" width="22.5703125" style="156" customWidth="1"/>
    <col min="6" max="6" width="1.140625" style="156" customWidth="1"/>
    <col min="7" max="7" width="25.42578125" style="156" bestFit="1" customWidth="1"/>
    <col min="8" max="8" width="21.140625" style="156" customWidth="1"/>
    <col min="9" max="9" width="24.7109375" style="156" customWidth="1"/>
    <col min="10" max="10" width="25.5703125" style="156" customWidth="1"/>
    <col min="11" max="11" width="1.140625" style="156" customWidth="1"/>
    <col min="12" max="12" width="2" style="320" customWidth="1"/>
    <col min="13" max="13" width="32" hidden="1" customWidth="1"/>
    <col min="14" max="15" width="38.140625" hidden="1" customWidth="1"/>
    <col min="16" max="16384" width="15.140625" hidden="1"/>
  </cols>
  <sheetData>
    <row r="1" spans="1:22" ht="23.25" customHeight="1" thickBot="1" x14ac:dyDescent="0.35">
      <c r="A1" s="74"/>
      <c r="B1" s="430" t="s">
        <v>148</v>
      </c>
      <c r="C1" s="430"/>
      <c r="D1" s="430"/>
      <c r="E1" s="430"/>
      <c r="F1" s="430"/>
      <c r="G1" s="430"/>
      <c r="H1" s="430"/>
      <c r="I1" s="430"/>
      <c r="J1" s="430"/>
      <c r="K1" s="430"/>
      <c r="L1" s="317"/>
      <c r="M1" s="156"/>
      <c r="N1" s="156"/>
      <c r="O1" s="156"/>
      <c r="P1" s="156"/>
      <c r="Q1" s="156"/>
      <c r="R1" s="156"/>
      <c r="S1" s="156"/>
      <c r="T1" s="156"/>
      <c r="U1" s="156"/>
      <c r="V1" s="156"/>
    </row>
    <row r="2" spans="1:22" s="165" customFormat="1" ht="3.75" customHeight="1" thickBot="1" x14ac:dyDescent="0.2">
      <c r="A2" s="140"/>
      <c r="B2" s="163"/>
      <c r="C2" s="163"/>
      <c r="D2" s="163"/>
      <c r="E2" s="163"/>
      <c r="F2" s="163"/>
      <c r="G2" s="163"/>
      <c r="H2" s="163"/>
      <c r="I2" s="163"/>
      <c r="J2" s="163"/>
      <c r="K2" s="163"/>
      <c r="L2" s="163"/>
    </row>
    <row r="3" spans="1:22" ht="18" thickBot="1" x14ac:dyDescent="0.35">
      <c r="A3" s="74"/>
      <c r="B3" s="449" t="s">
        <v>151</v>
      </c>
      <c r="C3" s="450"/>
      <c r="D3" s="450"/>
      <c r="E3" s="450"/>
      <c r="F3" s="450"/>
      <c r="G3" s="450"/>
      <c r="H3" s="450"/>
      <c r="I3" s="450"/>
      <c r="J3" s="450"/>
      <c r="K3" s="451"/>
      <c r="L3" s="322"/>
      <c r="M3" s="156"/>
      <c r="N3" s="156"/>
      <c r="O3" s="156"/>
      <c r="P3" s="156"/>
      <c r="Q3" s="156"/>
      <c r="R3" s="156"/>
      <c r="S3" s="156"/>
      <c r="T3" s="156"/>
      <c r="U3" s="156"/>
      <c r="V3" s="156"/>
    </row>
    <row r="4" spans="1:22" ht="31.5" customHeight="1" thickBot="1" x14ac:dyDescent="0.35">
      <c r="A4" s="74"/>
      <c r="B4" s="562" t="s">
        <v>382</v>
      </c>
      <c r="C4" s="563"/>
      <c r="D4" s="563"/>
      <c r="E4" s="563"/>
      <c r="F4" s="563"/>
      <c r="G4" s="563"/>
      <c r="H4" s="563"/>
      <c r="I4" s="563"/>
      <c r="J4" s="563"/>
      <c r="K4" s="564"/>
      <c r="L4" s="324"/>
      <c r="M4" s="156"/>
      <c r="N4" s="156"/>
      <c r="O4" s="156"/>
      <c r="P4" s="156"/>
      <c r="Q4" s="156"/>
      <c r="R4" s="156"/>
      <c r="S4" s="156"/>
      <c r="T4" s="156"/>
      <c r="U4" s="156"/>
      <c r="V4" s="156"/>
    </row>
    <row r="5" spans="1:22" s="165" customFormat="1" ht="9" thickBot="1" x14ac:dyDescent="0.2">
      <c r="A5" s="140"/>
      <c r="B5" s="141"/>
      <c r="C5" s="141"/>
      <c r="D5" s="141"/>
      <c r="E5" s="141"/>
      <c r="F5" s="141"/>
      <c r="G5" s="141"/>
      <c r="H5" s="141"/>
      <c r="I5" s="166"/>
      <c r="J5" s="166"/>
      <c r="K5" s="167"/>
      <c r="L5" s="323"/>
    </row>
    <row r="6" spans="1:22" ht="17.25" thickBot="1" x14ac:dyDescent="0.35">
      <c r="A6" s="74"/>
      <c r="B6" s="444" t="s">
        <v>155</v>
      </c>
      <c r="C6" s="445"/>
      <c r="D6" s="445"/>
      <c r="E6" s="446" t="s">
        <v>146</v>
      </c>
      <c r="F6" s="447" t="s">
        <v>156</v>
      </c>
      <c r="G6" s="447"/>
      <c r="H6" s="447"/>
      <c r="I6" s="447"/>
      <c r="J6" s="447"/>
      <c r="K6" s="448"/>
      <c r="L6" s="325"/>
      <c r="M6" s="156"/>
      <c r="N6" s="409"/>
      <c r="O6" s="409"/>
      <c r="P6" s="409"/>
      <c r="Q6" s="409"/>
      <c r="R6" s="409"/>
      <c r="S6" s="409"/>
      <c r="T6" s="409"/>
      <c r="U6" s="409"/>
      <c r="V6" s="410"/>
    </row>
    <row r="7" spans="1:22" s="156" customFormat="1" ht="6.4" customHeight="1" thickBot="1" x14ac:dyDescent="0.35">
      <c r="A7" s="74"/>
      <c r="B7" s="431"/>
      <c r="C7" s="357"/>
      <c r="D7" s="357"/>
      <c r="E7" s="358"/>
      <c r="F7" s="359"/>
      <c r="G7" s="359"/>
      <c r="H7" s="359"/>
      <c r="I7" s="359"/>
      <c r="J7" s="359"/>
      <c r="K7" s="432"/>
      <c r="L7" s="325"/>
      <c r="N7" s="398"/>
      <c r="O7" s="398"/>
      <c r="P7" s="398"/>
      <c r="Q7" s="398"/>
      <c r="R7" s="398"/>
      <c r="S7" s="398"/>
      <c r="T7" s="398"/>
      <c r="U7" s="398"/>
      <c r="V7" s="399"/>
    </row>
    <row r="8" spans="1:22" ht="17.25" thickBot="1" x14ac:dyDescent="0.35">
      <c r="A8" s="74"/>
      <c r="B8" s="433"/>
      <c r="C8" s="69"/>
      <c r="D8" s="75" t="s">
        <v>84</v>
      </c>
      <c r="E8" s="315"/>
      <c r="F8" s="76" t="s">
        <v>43</v>
      </c>
      <c r="G8" s="313"/>
      <c r="H8" s="313"/>
      <c r="I8" s="565" t="s">
        <v>363</v>
      </c>
      <c r="J8" s="566"/>
      <c r="K8" s="434"/>
      <c r="M8" s="156"/>
      <c r="N8" s="409"/>
      <c r="O8" s="409"/>
      <c r="P8" s="409"/>
      <c r="Q8" s="409"/>
      <c r="R8" s="409"/>
      <c r="S8" s="409"/>
      <c r="T8" s="409"/>
      <c r="U8" s="409"/>
      <c r="V8" s="410"/>
    </row>
    <row r="9" spans="1:22" ht="16.5" x14ac:dyDescent="0.3">
      <c r="A9" s="74"/>
      <c r="B9" s="433"/>
      <c r="C9" s="69"/>
      <c r="D9" s="75" t="s">
        <v>11</v>
      </c>
      <c r="E9" s="72"/>
      <c r="F9" s="76" t="s">
        <v>147</v>
      </c>
      <c r="G9" s="313"/>
      <c r="H9" s="313"/>
      <c r="I9" s="567" t="str">
        <f>IF(E12="Yes","&gt; As your event will have food stalls, consider having an organics service. This includes placing food/organics recycling bins in public place areas (e.g. near the food stalls) and back of house areas.",IF(E12="No","&gt; Consider providing an organics/food waste recycling service if large amounts of organics/food waste is going to be brought into the event by patrons (e.g. picnics).",""))</f>
        <v/>
      </c>
      <c r="J9" s="568"/>
      <c r="K9" s="435"/>
      <c r="L9" s="322"/>
      <c r="M9" s="156"/>
      <c r="N9" s="411"/>
      <c r="O9" s="411"/>
      <c r="P9" s="411"/>
      <c r="Q9" s="411"/>
      <c r="R9" s="411"/>
      <c r="S9" s="411"/>
      <c r="T9" s="411"/>
      <c r="U9" s="411"/>
      <c r="V9" s="412"/>
    </row>
    <row r="10" spans="1:22" ht="14.65" customHeight="1" x14ac:dyDescent="0.3">
      <c r="A10" s="74"/>
      <c r="B10" s="433"/>
      <c r="C10" s="69"/>
      <c r="D10" s="75" t="s">
        <v>40</v>
      </c>
      <c r="E10" s="72"/>
      <c r="F10" s="76" t="s">
        <v>41</v>
      </c>
      <c r="G10" s="313"/>
      <c r="H10" s="313"/>
      <c r="I10" s="569"/>
      <c r="J10" s="570"/>
      <c r="K10" s="408"/>
      <c r="L10" s="313"/>
      <c r="M10" s="156"/>
      <c r="N10" s="156"/>
      <c r="O10" s="156"/>
      <c r="P10" s="156"/>
      <c r="Q10" s="156"/>
      <c r="R10" s="156"/>
      <c r="S10" s="156"/>
      <c r="T10" s="156"/>
      <c r="U10" s="156"/>
      <c r="V10" s="156"/>
    </row>
    <row r="11" spans="1:22" ht="14.65" customHeight="1" x14ac:dyDescent="0.3">
      <c r="A11" s="74"/>
      <c r="B11" s="433"/>
      <c r="C11" s="69"/>
      <c r="D11" s="75" t="s">
        <v>36</v>
      </c>
      <c r="E11" s="72"/>
      <c r="F11" s="76" t="s">
        <v>94</v>
      </c>
      <c r="G11" s="313"/>
      <c r="H11" s="313"/>
      <c r="I11" s="569"/>
      <c r="J11" s="570"/>
      <c r="K11" s="408"/>
      <c r="L11" s="313"/>
      <c r="M11" s="156"/>
      <c r="N11" s="156"/>
      <c r="O11" s="156"/>
      <c r="P11" s="156"/>
      <c r="Q11" s="156"/>
      <c r="R11" s="156"/>
      <c r="S11" s="156"/>
      <c r="T11" s="156"/>
      <c r="U11" s="156"/>
      <c r="V11" s="156"/>
    </row>
    <row r="12" spans="1:22" ht="16.5" x14ac:dyDescent="0.3">
      <c r="A12" s="74"/>
      <c r="B12" s="433"/>
      <c r="C12" s="69"/>
      <c r="D12" s="75" t="s">
        <v>331</v>
      </c>
      <c r="E12" s="72"/>
      <c r="F12" s="76" t="s">
        <v>365</v>
      </c>
      <c r="G12" s="313"/>
      <c r="H12" s="313"/>
      <c r="I12" s="569"/>
      <c r="J12" s="570"/>
      <c r="K12" s="408"/>
      <c r="L12" s="313"/>
      <c r="M12" s="156"/>
      <c r="N12" s="156"/>
      <c r="O12" s="156"/>
      <c r="P12" s="156"/>
      <c r="Q12" s="156"/>
      <c r="R12" s="156"/>
      <c r="S12" s="156"/>
      <c r="T12" s="156"/>
      <c r="U12" s="156"/>
      <c r="V12" s="156"/>
    </row>
    <row r="13" spans="1:22" ht="14.65" customHeight="1" x14ac:dyDescent="0.3">
      <c r="A13" s="74"/>
      <c r="B13" s="433"/>
      <c r="C13" s="69"/>
      <c r="D13" s="75" t="s">
        <v>364</v>
      </c>
      <c r="E13" s="72"/>
      <c r="F13" s="76" t="s">
        <v>42</v>
      </c>
      <c r="G13" s="313"/>
      <c r="H13" s="313"/>
      <c r="I13" s="577" t="str">
        <f>IF(E12="Yes",IF(E13="No","&gt; Making it mandatory for food stall holders to only provide reusable or compostable takeaway containers/wares is a key principle of a better practice event.",""),"")</f>
        <v/>
      </c>
      <c r="J13" s="578"/>
      <c r="K13" s="408"/>
      <c r="L13" s="313"/>
    </row>
    <row r="14" spans="1:22" s="156" customFormat="1" ht="14.65" customHeight="1" x14ac:dyDescent="0.3">
      <c r="A14" s="74"/>
      <c r="B14" s="433"/>
      <c r="C14" s="69"/>
      <c r="D14" s="75" t="s">
        <v>332</v>
      </c>
      <c r="E14" s="72"/>
      <c r="F14" s="76" t="s">
        <v>366</v>
      </c>
      <c r="G14" s="313"/>
      <c r="H14" s="313"/>
      <c r="I14" s="577"/>
      <c r="J14" s="578"/>
      <c r="K14" s="408"/>
      <c r="L14" s="313"/>
    </row>
    <row r="15" spans="1:22" ht="14.65" customHeight="1" x14ac:dyDescent="0.3">
      <c r="A15" s="74"/>
      <c r="B15" s="433"/>
      <c r="C15" s="69"/>
      <c r="D15" s="75" t="s">
        <v>218</v>
      </c>
      <c r="E15" s="73"/>
      <c r="F15" s="76" t="s">
        <v>220</v>
      </c>
      <c r="G15" s="313"/>
      <c r="H15" s="313"/>
      <c r="I15" s="577"/>
      <c r="J15" s="578"/>
      <c r="K15" s="408"/>
      <c r="L15" s="313"/>
    </row>
    <row r="16" spans="1:22" ht="16.5" x14ac:dyDescent="0.3">
      <c r="A16" s="74"/>
      <c r="B16" s="433"/>
      <c r="C16" s="69"/>
      <c r="D16" s="75" t="s">
        <v>39</v>
      </c>
      <c r="E16" s="73"/>
      <c r="F16" s="76" t="s">
        <v>101</v>
      </c>
      <c r="G16" s="313"/>
      <c r="H16" s="313"/>
      <c r="I16" s="569" t="str">
        <f>IF(E14="Yes","&gt; As your event will have beverage stalls, consider having either a 10c drinks containers or comingled recycling service. This includes placing 10c drinks container/comingled recycling bins in public place areas (e.g. near beverage stalls).",IF(E14="No","&gt; Consider providing a 10c drinks container bin service if large amounts of drinks in containers are going to be brought into the event by patrons (e.g. BYO beverages).",""))</f>
        <v/>
      </c>
      <c r="J16" s="570"/>
      <c r="K16" s="408"/>
      <c r="L16" s="313"/>
    </row>
    <row r="17" spans="1:19" ht="16.5" x14ac:dyDescent="0.3">
      <c r="A17" s="74"/>
      <c r="B17" s="433"/>
      <c r="C17" s="69"/>
      <c r="D17" s="77" t="s">
        <v>219</v>
      </c>
      <c r="E17" s="71">
        <f>IFERROR(E15*ROUND(E16,0),"")</f>
        <v>0</v>
      </c>
      <c r="F17" s="76" t="s">
        <v>221</v>
      </c>
      <c r="G17" s="313"/>
      <c r="H17" s="313"/>
      <c r="I17" s="569"/>
      <c r="J17" s="570"/>
      <c r="K17" s="408"/>
      <c r="L17" s="313"/>
    </row>
    <row r="18" spans="1:19" s="165" customFormat="1" ht="14.25" x14ac:dyDescent="0.15">
      <c r="A18" s="140"/>
      <c r="B18" s="436"/>
      <c r="C18" s="163"/>
      <c r="D18" s="163"/>
      <c r="E18" s="163"/>
      <c r="F18" s="163"/>
      <c r="G18" s="313"/>
      <c r="H18" s="313"/>
      <c r="I18" s="569"/>
      <c r="J18" s="570"/>
      <c r="K18" s="437"/>
      <c r="L18" s="164"/>
    </row>
    <row r="19" spans="1:19" ht="17.25" thickBot="1" x14ac:dyDescent="0.35">
      <c r="A19" s="74"/>
      <c r="B19" s="438"/>
      <c r="C19" s="526" t="s">
        <v>249</v>
      </c>
      <c r="D19" s="527" t="str">
        <f>IF(COUNTBLANK(E8:E17)&gt;0,"Please fill in/utilise the drop downs in all the light blue cells in Step 1 before progressing to Step 2","Please proceed to Step 2")</f>
        <v>Please fill in/utilise the drop downs in all the light blue cells in Step 1 before progressing to Step 2</v>
      </c>
      <c r="E19" s="439"/>
      <c r="F19" s="314"/>
      <c r="G19" s="313"/>
      <c r="H19" s="313"/>
      <c r="I19" s="575"/>
      <c r="J19" s="576"/>
      <c r="K19" s="440"/>
      <c r="L19" s="321"/>
    </row>
    <row r="20" spans="1:19" s="316" customFormat="1" ht="5.25" customHeight="1" thickBot="1" x14ac:dyDescent="0.3">
      <c r="A20" s="70"/>
      <c r="B20" s="441"/>
      <c r="C20" s="442"/>
      <c r="D20" s="442"/>
      <c r="E20" s="442"/>
      <c r="F20" s="442"/>
      <c r="G20" s="442"/>
      <c r="H20" s="442"/>
      <c r="I20" s="442"/>
      <c r="J20" s="442"/>
      <c r="K20" s="443"/>
      <c r="L20" s="326"/>
    </row>
    <row r="21" spans="1:19" s="165" customFormat="1" ht="8.25" x14ac:dyDescent="0.15">
      <c r="A21" s="140"/>
      <c r="B21" s="163"/>
      <c r="C21" s="163"/>
      <c r="D21" s="163"/>
      <c r="E21" s="163"/>
      <c r="F21" s="163"/>
      <c r="G21" s="163"/>
      <c r="H21" s="163"/>
      <c r="I21" s="164"/>
      <c r="J21" s="164"/>
      <c r="K21" s="167"/>
      <c r="L21" s="323"/>
    </row>
    <row r="22" spans="1:19" s="273" customFormat="1" ht="23.25" customHeight="1" thickBot="1" x14ac:dyDescent="0.3">
      <c r="A22" s="271"/>
      <c r="B22" s="345" t="s">
        <v>149</v>
      </c>
      <c r="C22" s="318"/>
      <c r="D22" s="318"/>
      <c r="E22" s="318"/>
      <c r="F22" s="318"/>
      <c r="G22" s="318"/>
      <c r="H22" s="318"/>
      <c r="I22" s="318"/>
      <c r="J22" s="318"/>
      <c r="K22" s="271"/>
      <c r="L22" s="319"/>
    </row>
    <row r="23" spans="1:19" s="270" customFormat="1" ht="7.5" thickBot="1" x14ac:dyDescent="0.3">
      <c r="A23" s="268"/>
      <c r="B23" s="215"/>
      <c r="C23" s="215"/>
      <c r="D23" s="215"/>
      <c r="E23" s="215"/>
      <c r="F23" s="215"/>
      <c r="G23" s="215"/>
      <c r="H23" s="215"/>
      <c r="I23" s="215"/>
      <c r="J23" s="216"/>
      <c r="K23" s="216"/>
      <c r="L23" s="216"/>
    </row>
    <row r="24" spans="1:19" s="279" customFormat="1" ht="16.899999999999999" customHeight="1" x14ac:dyDescent="0.25">
      <c r="A24" s="276"/>
      <c r="B24" s="572" t="s">
        <v>150</v>
      </c>
      <c r="C24" s="573"/>
      <c r="D24" s="573"/>
      <c r="E24" s="574"/>
      <c r="F24" s="277"/>
      <c r="G24" s="571" t="s">
        <v>353</v>
      </c>
      <c r="H24" s="571"/>
      <c r="I24" s="571"/>
      <c r="J24" s="571"/>
      <c r="K24" s="278"/>
      <c r="L24" s="278"/>
      <c r="M24" s="396" t="s">
        <v>352</v>
      </c>
    </row>
    <row r="25" spans="1:19" s="273" customFormat="1" ht="43.9" customHeight="1" x14ac:dyDescent="0.25">
      <c r="A25" s="271"/>
      <c r="B25" s="556" t="s">
        <v>383</v>
      </c>
      <c r="C25" s="557"/>
      <c r="D25" s="557"/>
      <c r="E25" s="558"/>
      <c r="F25" s="281"/>
      <c r="G25" s="280" t="s">
        <v>129</v>
      </c>
      <c r="H25" s="280" t="s">
        <v>142</v>
      </c>
      <c r="I25" s="280" t="s">
        <v>126</v>
      </c>
      <c r="J25" s="280" t="s">
        <v>354</v>
      </c>
      <c r="K25" s="274"/>
      <c r="L25" s="327"/>
      <c r="M25" s="275"/>
      <c r="N25" s="283" t="s">
        <v>126</v>
      </c>
      <c r="O25" s="284" t="s">
        <v>127</v>
      </c>
    </row>
    <row r="26" spans="1:19" s="291" customFormat="1" ht="16.5" x14ac:dyDescent="0.25">
      <c r="A26" s="285"/>
      <c r="B26" s="556"/>
      <c r="C26" s="557"/>
      <c r="D26" s="557"/>
      <c r="E26" s="558"/>
      <c r="F26" s="281"/>
      <c r="G26" s="192" t="s">
        <v>90</v>
      </c>
      <c r="H26" s="286" t="s">
        <v>386</v>
      </c>
      <c r="I26" s="287">
        <f t="shared" ref="I26:I31" si="0">IFERROR(IF(N26&lt;50,N26,IF(N26&lt;100,ROUND(N26,-1),IF(N26&lt;1000, ROUND(N26,-1),ROUNDUP(N26,-2)))),"")</f>
        <v>0</v>
      </c>
      <c r="J26" s="288" t="str">
        <f t="shared" ref="J26:J31" si="1">IFERROR(I26/$I$32,"")</f>
        <v/>
      </c>
      <c r="K26" s="218"/>
      <c r="L26" s="328"/>
      <c r="M26" s="275" t="s">
        <v>90</v>
      </c>
      <c r="N26" s="290">
        <f>(('Step 1 &amp; Step 2 Event Details'!$E$17*Introduction!$D$35/1000)*VLOOKUP($M26,'Better practice vs typical'!$G$2:$M$9,7,FALSE))*1000/VLOOKUP('Step 1 &amp; Step 2 Event Details'!$M26,'Drop Downs and Assumptions'!$A:$B,2,FALSE)*1000</f>
        <v>0</v>
      </c>
      <c r="O26" s="290">
        <f>(('Step 1 &amp; Step 2 Event Details'!$E$17*Introduction!$G$35/1000)*VLOOKUP($M26,'Better practice vs typical'!$G$12:$M$19,7,FALSE))*1000/VLOOKUP('Step 1 &amp; Step 2 Event Details'!$M26,'Drop Downs and Assumptions'!$A:$B,2,FALSE)*1000</f>
        <v>0</v>
      </c>
      <c r="P26" s="273"/>
      <c r="Q26" s="273"/>
      <c r="R26" s="273"/>
      <c r="S26" s="273"/>
    </row>
    <row r="27" spans="1:19" s="291" customFormat="1" ht="16.5" x14ac:dyDescent="0.25">
      <c r="A27" s="285"/>
      <c r="B27" s="556"/>
      <c r="C27" s="557"/>
      <c r="D27" s="557"/>
      <c r="E27" s="558"/>
      <c r="F27" s="281"/>
      <c r="G27" s="192" t="s">
        <v>307</v>
      </c>
      <c r="H27" s="292" t="s">
        <v>15</v>
      </c>
      <c r="I27" s="287">
        <f t="shared" si="0"/>
        <v>0</v>
      </c>
      <c r="J27" s="288" t="str">
        <f t="shared" si="1"/>
        <v/>
      </c>
      <c r="K27" s="218"/>
      <c r="L27" s="328"/>
      <c r="M27" s="275" t="s">
        <v>307</v>
      </c>
      <c r="N27" s="290">
        <f>(('Step 1 &amp; Step 2 Event Details'!$E$17*Introduction!$D$35/1000)*VLOOKUP($M27,'Better practice vs typical'!$G$2:$M$9,7,FALSE))*1000/VLOOKUP('Step 1 &amp; Step 2 Event Details'!$M27,'Drop Downs and Assumptions'!$A:$B,2,FALSE)*1000</f>
        <v>0</v>
      </c>
      <c r="O27" s="290">
        <f>(('Step 1 &amp; Step 2 Event Details'!$E$17*Introduction!$G$35/1000)*VLOOKUP($M27,'Better practice vs typical'!$G$12:$M$19,7,FALSE))*1000/VLOOKUP('Step 1 &amp; Step 2 Event Details'!$M27,'Drop Downs and Assumptions'!$A:$B,2,FALSE)*1000</f>
        <v>0</v>
      </c>
      <c r="P27" s="273"/>
      <c r="Q27" s="273"/>
      <c r="R27" s="273"/>
      <c r="S27" s="273"/>
    </row>
    <row r="28" spans="1:19" s="291" customFormat="1" ht="16.5" x14ac:dyDescent="0.25">
      <c r="A28" s="285"/>
      <c r="B28" s="556"/>
      <c r="C28" s="557"/>
      <c r="D28" s="557"/>
      <c r="E28" s="558"/>
      <c r="F28" s="281"/>
      <c r="G28" s="192" t="s">
        <v>3</v>
      </c>
      <c r="H28" s="292" t="s">
        <v>15</v>
      </c>
      <c r="I28" s="287">
        <f t="shared" si="0"/>
        <v>0</v>
      </c>
      <c r="J28" s="288" t="str">
        <f t="shared" si="1"/>
        <v/>
      </c>
      <c r="K28" s="218"/>
      <c r="L28" s="328"/>
      <c r="M28" s="275" t="s">
        <v>3</v>
      </c>
      <c r="N28" s="290">
        <f>((('Step 1 &amp; Step 2 Event Details'!$E$17*Introduction!$D$35/1000)*VLOOKUP($M28,'Better practice vs typical'!$G$2:$M$9,7,FALSE))*1000/VLOOKUP('Step 1 &amp; Step 2 Event Details'!$M28,'Drop Downs and Assumptions'!$A:$B,2,FALSE)*1000)+N36+N37</f>
        <v>0</v>
      </c>
      <c r="O28" s="290">
        <f>((('Step 1 &amp; Step 2 Event Details'!$E$17*Introduction!$G$35/1000)*VLOOKUP($M28,'Better practice vs typical'!$G$12:$M$19,7,FALSE))*1000/VLOOKUP('Step 1 &amp; Step 2 Event Details'!$M28,'Drop Downs and Assumptions'!$A:$B,2,FALSE)*1000)+O36+O37</f>
        <v>0</v>
      </c>
      <c r="P28" s="273"/>
      <c r="Q28" s="273"/>
      <c r="R28" s="273"/>
      <c r="S28" s="273"/>
    </row>
    <row r="29" spans="1:19" s="291" customFormat="1" ht="16.5" x14ac:dyDescent="0.25">
      <c r="A29" s="285"/>
      <c r="B29" s="556"/>
      <c r="C29" s="557"/>
      <c r="D29" s="557"/>
      <c r="E29" s="558"/>
      <c r="F29" s="281"/>
      <c r="G29" s="192" t="s">
        <v>0</v>
      </c>
      <c r="H29" s="292" t="s">
        <v>15</v>
      </c>
      <c r="I29" s="287">
        <f t="shared" si="0"/>
        <v>0</v>
      </c>
      <c r="J29" s="293" t="str">
        <f t="shared" si="1"/>
        <v/>
      </c>
      <c r="K29" s="218"/>
      <c r="L29" s="328"/>
      <c r="M29" s="275" t="s">
        <v>0</v>
      </c>
      <c r="N29" s="295">
        <f>(('Step 1 &amp; Step 2 Event Details'!$E$17*Introduction!$D$35/1000)*VLOOKUP($M29,'Better practice vs typical'!$G$2:$M$9,7,FALSE))*1000/VLOOKUP('Step 1 &amp; Step 2 Event Details'!$M29,'Drop Downs and Assumptions'!$A:$B,2,FALSE)*1000</f>
        <v>0</v>
      </c>
      <c r="O29" s="295">
        <f>(('Step 1 &amp; Step 2 Event Details'!$E$17*Introduction!$G$35/1000)*VLOOKUP($M29,'Better practice vs typical'!$G$12:$M$19,7,FALSE))*1000/VLOOKUP('Step 1 &amp; Step 2 Event Details'!$M29,'Drop Downs and Assumptions'!$A:$B,2,FALSE)*1000</f>
        <v>0</v>
      </c>
      <c r="P29" s="273"/>
      <c r="Q29" s="273"/>
      <c r="R29" s="273"/>
      <c r="S29" s="273"/>
    </row>
    <row r="30" spans="1:19" s="291" customFormat="1" ht="16.5" x14ac:dyDescent="0.25">
      <c r="A30" s="285"/>
      <c r="B30" s="556"/>
      <c r="C30" s="557"/>
      <c r="D30" s="557"/>
      <c r="E30" s="558"/>
      <c r="F30" s="281"/>
      <c r="G30" s="192" t="s">
        <v>152</v>
      </c>
      <c r="H30" s="292" t="s">
        <v>53</v>
      </c>
      <c r="I30" s="287">
        <f t="shared" si="0"/>
        <v>0</v>
      </c>
      <c r="J30" s="288" t="str">
        <f t="shared" si="1"/>
        <v/>
      </c>
      <c r="K30" s="218"/>
      <c r="L30" s="328"/>
      <c r="M30" s="275" t="s">
        <v>2</v>
      </c>
      <c r="N30" s="290">
        <f>(('Step 1 &amp; Step 2 Event Details'!$E$17*Introduction!$D$35/1000)*VLOOKUP($M30,'Better practice vs typical'!$G$2:$M$9,7,FALSE))*1000/VLOOKUP('Step 1 &amp; Step 2 Event Details'!$M30,'Drop Downs and Assumptions'!$A:$B,2,FALSE)*1000</f>
        <v>0</v>
      </c>
      <c r="O30" s="290">
        <f>(('Step 1 &amp; Step 2 Event Details'!$E$17*Introduction!$G$35/1000)*VLOOKUP($M30,'Better practice vs typical'!$G$12:$M$19,7,FALSE))*1000/VLOOKUP('Step 1 &amp; Step 2 Event Details'!$M30,'Drop Downs and Assumptions'!$A:$B,2,FALSE)*1000</f>
        <v>0</v>
      </c>
      <c r="P30" s="273"/>
      <c r="Q30" s="273"/>
      <c r="R30" s="273"/>
      <c r="S30" s="273"/>
    </row>
    <row r="31" spans="1:19" s="291" customFormat="1" ht="17.25" thickBot="1" x14ac:dyDescent="0.3">
      <c r="A31" s="285"/>
      <c r="B31" s="556"/>
      <c r="C31" s="557"/>
      <c r="D31" s="557"/>
      <c r="E31" s="558"/>
      <c r="F31" s="281"/>
      <c r="G31" s="296" t="s">
        <v>1</v>
      </c>
      <c r="H31" s="297" t="s">
        <v>14</v>
      </c>
      <c r="I31" s="352">
        <f t="shared" si="0"/>
        <v>0</v>
      </c>
      <c r="J31" s="298" t="str">
        <f t="shared" si="1"/>
        <v/>
      </c>
      <c r="K31" s="218"/>
      <c r="L31" s="328"/>
      <c r="M31" s="275" t="s">
        <v>1</v>
      </c>
      <c r="N31" s="290">
        <f>(('Step 1 &amp; Step 2 Event Details'!$E$17*Introduction!$D$35/1000)*VLOOKUP($M31,'Better practice vs typical'!$G$2:$M$9,7,FALSE))*1000/VLOOKUP('Step 1 &amp; Step 2 Event Details'!$M31,'Drop Downs and Assumptions'!$A:$B,2,FALSE)*1000</f>
        <v>0</v>
      </c>
      <c r="O31" s="290">
        <f>(('Step 1 &amp; Step 2 Event Details'!$E$17*Introduction!$G$35/1000)*VLOOKUP($M31,'Better practice vs typical'!$G$12:$M$19,7,FALSE))*1000/VLOOKUP('Step 1 &amp; Step 2 Event Details'!$M31,'Drop Downs and Assumptions'!$A:$B,2,FALSE)*1000</f>
        <v>0</v>
      </c>
      <c r="P31" s="273"/>
      <c r="Q31" s="273"/>
      <c r="R31" s="273"/>
      <c r="S31" s="273"/>
    </row>
    <row r="32" spans="1:19" s="291" customFormat="1" ht="17.25" thickBot="1" x14ac:dyDescent="0.3">
      <c r="A32" s="285"/>
      <c r="B32" s="559"/>
      <c r="C32" s="560"/>
      <c r="D32" s="560"/>
      <c r="E32" s="561"/>
      <c r="F32" s="281"/>
      <c r="G32" s="303"/>
      <c r="H32" s="304" t="s">
        <v>153</v>
      </c>
      <c r="I32" s="305">
        <f>SUM(I26:I31)</f>
        <v>0</v>
      </c>
      <c r="J32" s="306">
        <f>SUM(J26:J31)</f>
        <v>0</v>
      </c>
      <c r="K32" s="218"/>
      <c r="L32" s="328"/>
      <c r="M32" s="275"/>
      <c r="N32" s="307">
        <f>SUM(N26:N31)</f>
        <v>0</v>
      </c>
      <c r="O32" s="307">
        <f>SUM(O26:O31)</f>
        <v>0</v>
      </c>
      <c r="P32" s="273"/>
      <c r="Q32" s="273"/>
      <c r="R32" s="273"/>
      <c r="S32" s="273"/>
    </row>
    <row r="33" spans="1:19" s="270" customFormat="1" ht="8.65" customHeight="1" thickBot="1" x14ac:dyDescent="0.3">
      <c r="A33" s="268"/>
      <c r="B33" s="421"/>
      <c r="C33" s="422"/>
      <c r="D33" s="422"/>
      <c r="E33" s="422"/>
      <c r="F33" s="422"/>
      <c r="G33" s="422"/>
      <c r="H33" s="422"/>
      <c r="I33" s="215"/>
      <c r="J33" s="215"/>
      <c r="K33" s="216"/>
      <c r="L33" s="216"/>
      <c r="M33" s="269"/>
    </row>
    <row r="34" spans="1:19" s="291" customFormat="1" ht="14.65" customHeight="1" x14ac:dyDescent="0.25">
      <c r="A34" s="285"/>
      <c r="B34" s="579" t="s">
        <v>387</v>
      </c>
      <c r="C34" s="580"/>
      <c r="D34" s="585" t="str">
        <f>" = "&amp;IFERROR(ROUND(Introduction!G35*'Step 1 &amp; Step 2 Event Details'!$E$17/1000,2),"")&amp;" tonnes"</f>
        <v xml:space="preserve"> = 0 tonnes</v>
      </c>
      <c r="E34" s="591" t="str">
        <f>"This is equivallent to approximately 
"&amp;ROUNDUP(O49/240,0)&amp;" x 240L bins "</f>
        <v xml:space="preserve">This is equivallent to approximately 
0 x 240L bins </v>
      </c>
      <c r="F34" s="281"/>
      <c r="G34" s="597" t="s">
        <v>388</v>
      </c>
      <c r="H34" s="598"/>
      <c r="I34" s="594" t="str">
        <f>" = "&amp;IFERROR(ROUND(Introduction!D35*'Step 1 &amp; Step 2 Event Details'!$E$17/1000,2),"")&amp;" tonnes"</f>
        <v xml:space="preserve"> = 0 tonnes</v>
      </c>
      <c r="J34" s="588" t="str">
        <f>"This is equivallent to approximately 
"&amp;ROUNDUP(I32/240,0)&amp;" x 240L bins"</f>
        <v>This is equivallent to approximately 
0 x 240L bins</v>
      </c>
      <c r="K34" s="218"/>
      <c r="L34" s="328"/>
      <c r="M34" s="275"/>
      <c r="N34" s="305"/>
      <c r="O34" s="305"/>
      <c r="P34" s="273"/>
      <c r="Q34" s="273"/>
      <c r="R34" s="273"/>
      <c r="S34" s="273"/>
    </row>
    <row r="35" spans="1:19" s="291" customFormat="1" ht="14.65" customHeight="1" x14ac:dyDescent="0.25">
      <c r="A35" s="285"/>
      <c r="B35" s="581"/>
      <c r="C35" s="582"/>
      <c r="D35" s="586"/>
      <c r="E35" s="592"/>
      <c r="F35" s="281"/>
      <c r="G35" s="599"/>
      <c r="H35" s="600"/>
      <c r="I35" s="595"/>
      <c r="J35" s="589"/>
      <c r="K35" s="218"/>
      <c r="L35" s="328"/>
      <c r="M35" s="275"/>
      <c r="N35" s="305"/>
      <c r="O35" s="305"/>
      <c r="P35" s="273"/>
      <c r="Q35" s="273"/>
      <c r="R35" s="273"/>
      <c r="S35" s="273"/>
    </row>
    <row r="36" spans="1:19" s="291" customFormat="1" ht="14.65" customHeight="1" x14ac:dyDescent="0.25">
      <c r="A36" s="285"/>
      <c r="B36" s="581"/>
      <c r="C36" s="582"/>
      <c r="D36" s="586"/>
      <c r="E36" s="592"/>
      <c r="F36" s="281"/>
      <c r="G36" s="599"/>
      <c r="H36" s="600"/>
      <c r="I36" s="595"/>
      <c r="J36" s="589"/>
      <c r="K36" s="218"/>
      <c r="L36" s="328"/>
      <c r="M36" s="523" t="s">
        <v>72</v>
      </c>
      <c r="N36" s="290">
        <f>(('Step 1 &amp; Step 2 Event Details'!$E$17*Introduction!$D$35/1000)*VLOOKUP($M36,'Better practice vs typical'!$G$2:$M$9,7,FALSE))*1000/VLOOKUP('Step 1 &amp; Step 2 Event Details'!$M36,'Drop Downs and Assumptions'!$A:$B,2,FALSE)*1000</f>
        <v>0</v>
      </c>
      <c r="O36" s="290">
        <f>(('Step 1 &amp; Step 2 Event Details'!$E$17*Introduction!$G$35/1000)*VLOOKUP($M36,'Better practice vs typical'!$G$12:$M$19,7,FALSE))*1000/VLOOKUP('Step 1 &amp; Step 2 Event Details'!$M36,'Drop Downs and Assumptions'!$A:$B,2,FALSE)*1000</f>
        <v>0</v>
      </c>
      <c r="P36" s="273"/>
      <c r="Q36" s="273"/>
      <c r="R36" s="273"/>
      <c r="S36" s="273"/>
    </row>
    <row r="37" spans="1:19" s="291" customFormat="1" ht="14.65" customHeight="1" x14ac:dyDescent="0.25">
      <c r="A37" s="285"/>
      <c r="B37" s="581"/>
      <c r="C37" s="582"/>
      <c r="D37" s="586"/>
      <c r="E37" s="592"/>
      <c r="F37" s="281"/>
      <c r="G37" s="599"/>
      <c r="H37" s="600"/>
      <c r="I37" s="595"/>
      <c r="J37" s="589"/>
      <c r="K37" s="218"/>
      <c r="L37" s="328"/>
      <c r="M37" s="523" t="s">
        <v>71</v>
      </c>
      <c r="N37" s="290">
        <f>(('Step 1 &amp; Step 2 Event Details'!$E$17*Introduction!$D$35/1000)*VLOOKUP($M37,'Better practice vs typical'!$G$2:$M$9,7,FALSE))*1000/VLOOKUP('Step 1 &amp; Step 2 Event Details'!$M37,'Drop Downs and Assumptions'!$A:$B,2,FALSE)*1000</f>
        <v>0</v>
      </c>
      <c r="O37" s="290">
        <f>(('Step 1 &amp; Step 2 Event Details'!$E$17*Introduction!$G$35/1000)*VLOOKUP($M37,'Better practice vs typical'!$G$12:$M$19,7,FALSE))*1000/VLOOKUP('Step 1 &amp; Step 2 Event Details'!$M37,'Drop Downs and Assumptions'!$A:$B,2,FALSE)*1000</f>
        <v>0</v>
      </c>
      <c r="P37" s="273"/>
      <c r="Q37" s="273"/>
      <c r="R37" s="273"/>
      <c r="S37" s="273"/>
    </row>
    <row r="38" spans="1:19" s="270" customFormat="1" ht="15" customHeight="1" thickBot="1" x14ac:dyDescent="0.3">
      <c r="A38" s="268"/>
      <c r="B38" s="583"/>
      <c r="C38" s="584"/>
      <c r="D38" s="587"/>
      <c r="E38" s="593"/>
      <c r="F38" s="217"/>
      <c r="G38" s="601"/>
      <c r="H38" s="602"/>
      <c r="I38" s="596"/>
      <c r="J38" s="590"/>
      <c r="K38" s="186"/>
      <c r="L38" s="186"/>
      <c r="M38" s="275"/>
      <c r="N38" s="290"/>
      <c r="O38" s="290"/>
    </row>
    <row r="39" spans="1:19" s="270" customFormat="1" ht="11.65" customHeight="1" x14ac:dyDescent="0.25">
      <c r="A39" s="268"/>
      <c r="B39" s="268"/>
      <c r="C39" s="268"/>
      <c r="D39" s="268"/>
      <c r="E39" s="268"/>
      <c r="F39" s="268"/>
      <c r="G39" s="268"/>
      <c r="H39" s="268"/>
      <c r="I39" s="268"/>
      <c r="J39" s="268"/>
      <c r="K39" s="268"/>
      <c r="L39" s="186"/>
    </row>
    <row r="40" spans="1:19" s="291" customFormat="1" ht="16.5" hidden="1" x14ac:dyDescent="0.25">
      <c r="A40" s="285"/>
      <c r="B40" s="285"/>
      <c r="C40" s="285"/>
      <c r="D40" s="285"/>
      <c r="E40" s="285"/>
      <c r="F40" s="285"/>
      <c r="G40" s="285"/>
      <c r="H40" s="285"/>
      <c r="I40" s="285"/>
      <c r="J40" s="285"/>
      <c r="K40" s="285"/>
      <c r="L40" s="328"/>
    </row>
    <row r="41" spans="1:19" s="273" customFormat="1" ht="17.25" hidden="1" x14ac:dyDescent="0.25">
      <c r="A41" s="271"/>
      <c r="K41" s="271"/>
      <c r="L41" s="319"/>
      <c r="M41" s="403" t="s">
        <v>291</v>
      </c>
      <c r="N41" s="403"/>
      <c r="O41" s="403"/>
      <c r="P41" s="403"/>
    </row>
    <row r="42" spans="1:19" ht="71.25" hidden="1" x14ac:dyDescent="0.25">
      <c r="M42" s="282" t="s">
        <v>129</v>
      </c>
      <c r="N42" s="282" t="s">
        <v>142</v>
      </c>
      <c r="O42" s="282" t="s">
        <v>127</v>
      </c>
      <c r="P42" s="282" t="s">
        <v>141</v>
      </c>
    </row>
    <row r="43" spans="1:19" hidden="1" x14ac:dyDescent="0.25">
      <c r="M43" s="192" t="s">
        <v>90</v>
      </c>
      <c r="N43" s="286" t="s">
        <v>15</v>
      </c>
      <c r="O43" s="287">
        <f t="shared" ref="O43:O48" si="2">IFERROR(IF(O26&lt;50,O26,IF(O26&lt;100,ROUND(O26,-1),IF(O26&lt;1000, ROUND(O26,-1),ROUNDUP(O26,-2)))),"")</f>
        <v>0</v>
      </c>
      <c r="P43" s="288" t="str">
        <f t="shared" ref="P43:P48" si="3">IFERROR(O43/$O$49,"")</f>
        <v/>
      </c>
    </row>
    <row r="44" spans="1:19" hidden="1" x14ac:dyDescent="0.25">
      <c r="M44" s="192" t="s">
        <v>307</v>
      </c>
      <c r="N44" s="292" t="s">
        <v>15</v>
      </c>
      <c r="O44" s="289">
        <f t="shared" si="2"/>
        <v>0</v>
      </c>
      <c r="P44" s="288" t="str">
        <f t="shared" si="3"/>
        <v/>
      </c>
    </row>
    <row r="45" spans="1:19" hidden="1" x14ac:dyDescent="0.25">
      <c r="M45" s="192" t="s">
        <v>3</v>
      </c>
      <c r="N45" s="292" t="s">
        <v>15</v>
      </c>
      <c r="O45" s="289">
        <f t="shared" si="2"/>
        <v>0</v>
      </c>
      <c r="P45" s="288" t="str">
        <f t="shared" si="3"/>
        <v/>
      </c>
    </row>
    <row r="46" spans="1:19" hidden="1" x14ac:dyDescent="0.25">
      <c r="M46" s="192" t="s">
        <v>0</v>
      </c>
      <c r="N46" s="292" t="s">
        <v>15</v>
      </c>
      <c r="O46" s="294">
        <f t="shared" si="2"/>
        <v>0</v>
      </c>
      <c r="P46" s="293" t="str">
        <f t="shared" si="3"/>
        <v/>
      </c>
    </row>
    <row r="47" spans="1:19" hidden="1" x14ac:dyDescent="0.25">
      <c r="M47" s="192" t="s">
        <v>152</v>
      </c>
      <c r="N47" s="292" t="s">
        <v>53</v>
      </c>
      <c r="O47" s="289">
        <f t="shared" si="2"/>
        <v>0</v>
      </c>
      <c r="P47" s="288" t="str">
        <f t="shared" si="3"/>
        <v/>
      </c>
    </row>
    <row r="48" spans="1:19" ht="15.75" hidden="1" thickBot="1" x14ac:dyDescent="0.3">
      <c r="M48" s="299" t="s">
        <v>1</v>
      </c>
      <c r="N48" s="300" t="s">
        <v>14</v>
      </c>
      <c r="O48" s="301">
        <f t="shared" si="2"/>
        <v>0</v>
      </c>
      <c r="P48" s="302" t="str">
        <f t="shared" si="3"/>
        <v/>
      </c>
    </row>
    <row r="49" spans="13:16" hidden="1" x14ac:dyDescent="0.25">
      <c r="M49" s="303"/>
      <c r="N49" s="304" t="s">
        <v>153</v>
      </c>
      <c r="O49" s="305">
        <f>SUM(O43:O48)</f>
        <v>0</v>
      </c>
      <c r="P49" s="306">
        <f>SUM(P43:P48)</f>
        <v>0</v>
      </c>
    </row>
  </sheetData>
  <sheetProtection algorithmName="SHA-512" hashValue="Rt4Tg2XWcLNY3QOSpCGi7BYDeawuh9vQoL/HR5LAWwlGZKHtKriVop0D6HUWJOjaCmCFYd+7eY+Aiw2yQ4tH0Q==" saltValue="X3AtqTENLxn1nAWjWrD05w==" spinCount="100000" sheet="1" formatColumns="0" formatRows="0" selectLockedCells="1"/>
  <mergeCells count="14">
    <mergeCell ref="B34:C38"/>
    <mergeCell ref="D34:D38"/>
    <mergeCell ref="J34:J38"/>
    <mergeCell ref="E34:E38"/>
    <mergeCell ref="I34:I38"/>
    <mergeCell ref="G34:H38"/>
    <mergeCell ref="B25:E32"/>
    <mergeCell ref="B4:K4"/>
    <mergeCell ref="I8:J8"/>
    <mergeCell ref="I9:J12"/>
    <mergeCell ref="G24:J24"/>
    <mergeCell ref="B24:E24"/>
    <mergeCell ref="I16:J19"/>
    <mergeCell ref="I13:J15"/>
  </mergeCells>
  <conditionalFormatting sqref="F19 D19">
    <cfRule type="expression" dxfId="11" priority="5">
      <formula>COUNTBLANK($E$8:$E$17)&gt;0</formula>
    </cfRule>
    <cfRule type="expression" dxfId="10" priority="6">
      <formula>COUNTBLANK($E$8:$E$17)=0</formula>
    </cfRule>
  </conditionalFormatting>
  <conditionalFormatting sqref="N26:O32 I34:J34 D34 I26:J32 O43:P49 N34:O38">
    <cfRule type="expression" dxfId="9" priority="3">
      <formula>#REF!=""</formula>
    </cfRule>
  </conditionalFormatting>
  <conditionalFormatting sqref="I34 N26:O32 I26:J32 O43:P49 N34:O38">
    <cfRule type="expression" dxfId="8" priority="4">
      <formula>#REF!=#REF!</formula>
    </cfRule>
  </conditionalFormatting>
  <conditionalFormatting sqref="E34">
    <cfRule type="expression" dxfId="7" priority="2">
      <formula>#REF!=""</formula>
    </cfRule>
  </conditionalFormatting>
  <conditionalFormatting sqref="E13">
    <cfRule type="expression" dxfId="6" priority="1">
      <formula>$E$12="No"</formula>
    </cfRule>
  </conditionalFormatting>
  <dataValidations count="1">
    <dataValidation type="whole" operator="greaterThanOrEqual" allowBlank="1" showErrorMessage="1" error="Event needs to be held for at least 1 day" sqref="E16">
      <formula1>1</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'Drop Downs and Assumptions'!$N$2:$N$4</xm:f>
          </x14:formula1>
          <xm:sqref>E10</xm:sqref>
        </x14:dataValidation>
        <x14:dataValidation type="list" allowBlank="1" showInputMessage="1" showErrorMessage="1">
          <x14:formula1>
            <xm:f>'Drop Downs and Assumptions'!$V$2:$V$3</xm:f>
          </x14:formula1>
          <xm:sqref>E12:E14</xm:sqref>
        </x14:dataValidation>
        <x14:dataValidation type="list" allowBlank="1" showInputMessage="1" showErrorMessage="1">
          <x14:formula1>
            <xm:f>'Drop Downs and Assumptions'!$R$2:$R$3</xm:f>
          </x14:formula1>
          <xm:sqref>E11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AD84"/>
  <sheetViews>
    <sheetView topLeftCell="A16" zoomScale="85" zoomScaleNormal="85" workbookViewId="0">
      <selection activeCell="E26" sqref="E26"/>
    </sheetView>
  </sheetViews>
  <sheetFormatPr defaultColWidth="0" defaultRowHeight="16.5" zeroHeight="1" x14ac:dyDescent="0.3"/>
  <cols>
    <col min="1" max="1" width="1.140625" style="235" customWidth="1"/>
    <col min="2" max="2" width="31.140625" style="219" customWidth="1"/>
    <col min="3" max="3" width="25.28515625" style="219" customWidth="1"/>
    <col min="4" max="4" width="24.7109375" style="219" bestFit="1" customWidth="1"/>
    <col min="5" max="5" width="21.140625" style="219" customWidth="1"/>
    <col min="6" max="6" width="31.42578125" style="219" customWidth="1"/>
    <col min="7" max="8" width="24.85546875" style="219" customWidth="1"/>
    <col min="9" max="9" width="27" style="219" customWidth="1"/>
    <col min="10" max="10" width="28.140625" style="219" customWidth="1"/>
    <col min="11" max="11" width="2" style="235" customWidth="1"/>
    <col min="12" max="12" width="31.140625" style="236" hidden="1" customWidth="1"/>
    <col min="13" max="14" width="25.85546875" style="219" hidden="1" customWidth="1"/>
    <col min="15" max="15" width="16.5703125" style="219" hidden="1" customWidth="1"/>
    <col min="16" max="16" width="40" style="219" hidden="1" customWidth="1"/>
    <col min="17" max="17" width="22.42578125" style="219" hidden="1" customWidth="1"/>
    <col min="18" max="18" width="15" style="219" hidden="1" customWidth="1"/>
    <col min="19" max="19" width="40" style="219" hidden="1" customWidth="1"/>
    <col min="20" max="20" width="22.42578125" style="219" hidden="1" customWidth="1"/>
    <col min="21" max="21" width="15" style="219" hidden="1" customWidth="1"/>
    <col min="22" max="22" width="40" style="219" hidden="1" customWidth="1"/>
    <col min="23" max="24" width="22.5703125" style="219" hidden="1" customWidth="1"/>
    <col min="25" max="25" width="30" style="219" hidden="1" customWidth="1"/>
    <col min="26" max="26" width="28.140625" style="219" hidden="1" customWidth="1"/>
    <col min="27" max="27" width="12.85546875" style="219" hidden="1" customWidth="1"/>
    <col min="28" max="28" width="28" style="219" hidden="1" customWidth="1"/>
    <col min="29" max="29" width="26.85546875" style="219" hidden="1" customWidth="1"/>
    <col min="30" max="16384" width="9" style="219" hidden="1"/>
  </cols>
  <sheetData>
    <row r="1" spans="1:24" s="273" customFormat="1" ht="23.25" customHeight="1" thickBot="1" x14ac:dyDescent="0.3">
      <c r="A1" s="271"/>
      <c r="B1" s="425" t="s">
        <v>368</v>
      </c>
      <c r="C1" s="426"/>
      <c r="D1" s="426"/>
      <c r="E1" s="426"/>
      <c r="F1" s="426"/>
      <c r="G1" s="426"/>
      <c r="H1" s="426"/>
      <c r="I1" s="426"/>
      <c r="J1" s="426"/>
      <c r="K1" s="271"/>
      <c r="L1" s="319"/>
      <c r="M1" s="319"/>
      <c r="N1" s="319"/>
      <c r="O1" s="319"/>
      <c r="P1" s="319"/>
      <c r="Q1" s="319"/>
      <c r="R1" s="319"/>
      <c r="S1" s="319"/>
      <c r="T1" s="319"/>
      <c r="U1" s="319"/>
      <c r="V1" s="319"/>
      <c r="W1" s="319"/>
      <c r="X1" s="319"/>
    </row>
    <row r="2" spans="1:24" s="187" customFormat="1" ht="17.25" thickBot="1" x14ac:dyDescent="0.35">
      <c r="A2" s="185"/>
      <c r="B2" s="427" t="s">
        <v>154</v>
      </c>
      <c r="C2" s="428"/>
      <c r="D2" s="428"/>
      <c r="E2" s="428"/>
      <c r="F2" s="428"/>
      <c r="G2" s="428"/>
      <c r="H2" s="428"/>
      <c r="I2" s="428"/>
      <c r="J2" s="429"/>
      <c r="K2" s="185"/>
      <c r="L2" s="214"/>
      <c r="M2" s="214"/>
      <c r="N2" s="214"/>
      <c r="O2" s="214"/>
      <c r="P2" s="214"/>
      <c r="Q2" s="214"/>
      <c r="R2" s="214"/>
      <c r="S2" s="214"/>
      <c r="T2" s="214"/>
      <c r="U2" s="214"/>
      <c r="V2" s="214"/>
      <c r="W2" s="214"/>
      <c r="X2" s="214"/>
    </row>
    <row r="3" spans="1:24" s="187" customFormat="1" ht="13.5" customHeight="1" x14ac:dyDescent="0.25">
      <c r="A3" s="185"/>
      <c r="B3" s="626" t="s">
        <v>373</v>
      </c>
      <c r="C3" s="627"/>
      <c r="D3" s="627"/>
      <c r="E3" s="627"/>
      <c r="F3" s="627"/>
      <c r="G3" s="627"/>
      <c r="H3" s="627"/>
      <c r="I3" s="627"/>
      <c r="J3" s="628"/>
      <c r="K3" s="185"/>
      <c r="L3" s="214"/>
      <c r="M3" s="214"/>
      <c r="N3" s="214"/>
      <c r="O3" s="214"/>
      <c r="P3" s="214"/>
      <c r="Q3" s="214"/>
      <c r="R3" s="214"/>
      <c r="S3" s="214"/>
      <c r="T3" s="214"/>
      <c r="U3" s="214"/>
      <c r="V3" s="214"/>
      <c r="W3" s="214"/>
      <c r="X3" s="214"/>
    </row>
    <row r="4" spans="1:24" s="187" customFormat="1" ht="13.5" customHeight="1" x14ac:dyDescent="0.25">
      <c r="A4" s="185"/>
      <c r="B4" s="626"/>
      <c r="C4" s="627"/>
      <c r="D4" s="627"/>
      <c r="E4" s="627"/>
      <c r="F4" s="627"/>
      <c r="G4" s="627"/>
      <c r="H4" s="627"/>
      <c r="I4" s="627"/>
      <c r="J4" s="628"/>
      <c r="K4" s="185"/>
      <c r="L4" s="214"/>
      <c r="M4" s="214"/>
      <c r="N4" s="214"/>
      <c r="O4" s="214"/>
      <c r="P4" s="214"/>
      <c r="Q4" s="214"/>
      <c r="R4" s="214"/>
      <c r="S4" s="214"/>
      <c r="T4" s="214"/>
      <c r="U4" s="214"/>
      <c r="V4" s="214"/>
      <c r="W4" s="214"/>
      <c r="X4" s="214"/>
    </row>
    <row r="5" spans="1:24" s="187" customFormat="1" ht="13.5" customHeight="1" x14ac:dyDescent="0.25">
      <c r="A5" s="185"/>
      <c r="B5" s="626"/>
      <c r="C5" s="627"/>
      <c r="D5" s="627"/>
      <c r="E5" s="627"/>
      <c r="F5" s="627"/>
      <c r="G5" s="627"/>
      <c r="H5" s="627"/>
      <c r="I5" s="627"/>
      <c r="J5" s="628"/>
      <c r="K5" s="185"/>
      <c r="L5" s="214"/>
      <c r="M5" s="214"/>
      <c r="N5" s="214"/>
      <c r="O5" s="214"/>
      <c r="P5" s="214"/>
      <c r="Q5" s="214"/>
      <c r="R5" s="214"/>
      <c r="S5" s="214"/>
      <c r="T5" s="214"/>
      <c r="U5" s="214"/>
      <c r="V5" s="214"/>
      <c r="W5" s="214"/>
      <c r="X5" s="214"/>
    </row>
    <row r="6" spans="1:24" s="187" customFormat="1" ht="14.25" x14ac:dyDescent="0.25">
      <c r="A6" s="185"/>
      <c r="B6" s="626"/>
      <c r="C6" s="627"/>
      <c r="D6" s="627"/>
      <c r="E6" s="627"/>
      <c r="F6" s="627"/>
      <c r="G6" s="627"/>
      <c r="H6" s="627"/>
      <c r="I6" s="627"/>
      <c r="J6" s="628"/>
      <c r="K6" s="185"/>
      <c r="L6" s="214"/>
      <c r="M6" s="214"/>
      <c r="N6" s="214"/>
      <c r="O6" s="214"/>
      <c r="P6" s="214"/>
      <c r="Q6" s="214"/>
      <c r="R6" s="214"/>
      <c r="S6" s="214"/>
      <c r="T6" s="214"/>
      <c r="U6" s="214"/>
      <c r="V6" s="214"/>
      <c r="W6" s="214"/>
      <c r="X6" s="214"/>
    </row>
    <row r="7" spans="1:24" s="187" customFormat="1" ht="14.25" x14ac:dyDescent="0.25">
      <c r="A7" s="185"/>
      <c r="B7" s="626"/>
      <c r="C7" s="627"/>
      <c r="D7" s="627"/>
      <c r="E7" s="627"/>
      <c r="F7" s="627"/>
      <c r="G7" s="627"/>
      <c r="H7" s="627"/>
      <c r="I7" s="627"/>
      <c r="J7" s="628"/>
      <c r="K7" s="185"/>
      <c r="L7" s="214"/>
      <c r="M7" s="214"/>
      <c r="N7" s="214"/>
      <c r="O7" s="214"/>
      <c r="P7" s="214"/>
      <c r="Q7" s="214"/>
      <c r="R7" s="214"/>
      <c r="S7" s="214"/>
      <c r="T7" s="214"/>
      <c r="U7" s="214"/>
      <c r="V7" s="214"/>
      <c r="W7" s="214"/>
      <c r="X7" s="214"/>
    </row>
    <row r="8" spans="1:24" s="187" customFormat="1" ht="14.25" x14ac:dyDescent="0.25">
      <c r="A8" s="185"/>
      <c r="B8" s="626"/>
      <c r="C8" s="627"/>
      <c r="D8" s="627"/>
      <c r="E8" s="627"/>
      <c r="F8" s="627"/>
      <c r="G8" s="627"/>
      <c r="H8" s="627"/>
      <c r="I8" s="627"/>
      <c r="J8" s="628"/>
      <c r="K8" s="185"/>
      <c r="L8" s="214"/>
      <c r="M8" s="214"/>
      <c r="N8" s="214"/>
      <c r="O8" s="214"/>
      <c r="P8" s="214"/>
      <c r="Q8" s="214"/>
      <c r="R8" s="214"/>
      <c r="S8" s="214"/>
      <c r="T8" s="214"/>
      <c r="U8" s="214"/>
      <c r="V8" s="214"/>
      <c r="W8" s="214"/>
      <c r="X8" s="214"/>
    </row>
    <row r="9" spans="1:24" s="187" customFormat="1" ht="15" thickBot="1" x14ac:dyDescent="0.3">
      <c r="A9" s="185"/>
      <c r="B9" s="626"/>
      <c r="C9" s="627"/>
      <c r="D9" s="627"/>
      <c r="E9" s="627"/>
      <c r="F9" s="627"/>
      <c r="G9" s="627"/>
      <c r="H9" s="627"/>
      <c r="I9" s="627"/>
      <c r="J9" s="628"/>
      <c r="K9" s="185"/>
      <c r="L9" s="214"/>
      <c r="M9" s="354" t="s">
        <v>377</v>
      </c>
      <c r="N9" s="355"/>
    </row>
    <row r="10" spans="1:24" s="187" customFormat="1" ht="13.5" customHeight="1" x14ac:dyDescent="0.25">
      <c r="A10" s="185"/>
      <c r="B10" s="626"/>
      <c r="C10" s="627"/>
      <c r="D10" s="627"/>
      <c r="E10" s="627"/>
      <c r="F10" s="627"/>
      <c r="G10" s="627"/>
      <c r="H10" s="627"/>
      <c r="I10" s="627"/>
      <c r="J10" s="628"/>
      <c r="K10" s="185"/>
      <c r="L10" s="214"/>
      <c r="M10" s="620" t="s">
        <v>319</v>
      </c>
      <c r="N10" s="618" t="s">
        <v>320</v>
      </c>
    </row>
    <row r="11" spans="1:24" s="187" customFormat="1" ht="13.5" customHeight="1" x14ac:dyDescent="0.25">
      <c r="A11" s="185"/>
      <c r="B11" s="626"/>
      <c r="C11" s="627"/>
      <c r="D11" s="627"/>
      <c r="E11" s="627"/>
      <c r="F11" s="627"/>
      <c r="G11" s="627"/>
      <c r="H11" s="627"/>
      <c r="I11" s="627"/>
      <c r="J11" s="628"/>
      <c r="K11" s="185"/>
      <c r="L11" s="214"/>
      <c r="M11" s="621"/>
      <c r="N11" s="619"/>
    </row>
    <row r="12" spans="1:24" s="187" customFormat="1" ht="14.25" x14ac:dyDescent="0.25">
      <c r="A12" s="185"/>
      <c r="B12" s="626"/>
      <c r="C12" s="627"/>
      <c r="D12" s="627"/>
      <c r="E12" s="627"/>
      <c r="F12" s="627"/>
      <c r="G12" s="627"/>
      <c r="H12" s="627"/>
      <c r="I12" s="627"/>
      <c r="J12" s="628"/>
      <c r="K12" s="185"/>
      <c r="L12" s="214"/>
      <c r="M12" s="500">
        <v>50</v>
      </c>
      <c r="N12" s="397">
        <v>1</v>
      </c>
      <c r="O12" s="214"/>
    </row>
    <row r="13" spans="1:24" s="187" customFormat="1" ht="13.5" customHeight="1" thickBot="1" x14ac:dyDescent="0.3">
      <c r="A13" s="185"/>
      <c r="B13" s="626"/>
      <c r="C13" s="627"/>
      <c r="D13" s="627"/>
      <c r="E13" s="627"/>
      <c r="F13" s="627"/>
      <c r="G13" s="627"/>
      <c r="H13" s="627"/>
      <c r="I13" s="627"/>
      <c r="J13" s="628"/>
      <c r="K13" s="185"/>
      <c r="L13" s="214"/>
      <c r="M13" s="501">
        <v>200</v>
      </c>
      <c r="N13" s="502">
        <v>2</v>
      </c>
      <c r="O13" s="214"/>
    </row>
    <row r="14" spans="1:24" s="187" customFormat="1" ht="13.5" customHeight="1" thickBot="1" x14ac:dyDescent="0.3">
      <c r="A14" s="185"/>
      <c r="B14" s="626"/>
      <c r="C14" s="627"/>
      <c r="D14" s="627"/>
      <c r="E14" s="627"/>
      <c r="F14" s="627"/>
      <c r="G14" s="627"/>
      <c r="H14" s="627"/>
      <c r="I14" s="627"/>
      <c r="J14" s="628"/>
      <c r="K14" s="185"/>
      <c r="L14" s="214"/>
      <c r="M14" s="503" t="s">
        <v>378</v>
      </c>
      <c r="N14" s="504"/>
      <c r="O14" s="214"/>
    </row>
    <row r="15" spans="1:24" s="187" customFormat="1" ht="15" thickBot="1" x14ac:dyDescent="0.3">
      <c r="A15" s="185"/>
      <c r="B15" s="626"/>
      <c r="C15" s="627"/>
      <c r="D15" s="627"/>
      <c r="E15" s="627"/>
      <c r="F15" s="627"/>
      <c r="G15" s="627"/>
      <c r="H15" s="627"/>
      <c r="I15" s="627"/>
      <c r="J15" s="628"/>
      <c r="K15" s="185"/>
      <c r="L15" s="214"/>
      <c r="M15" s="505">
        <v>3</v>
      </c>
      <c r="N15" s="506" t="s">
        <v>379</v>
      </c>
      <c r="O15" s="214"/>
    </row>
    <row r="16" spans="1:24" s="187" customFormat="1" ht="15" thickBot="1" x14ac:dyDescent="0.3">
      <c r="A16" s="185"/>
      <c r="B16" s="629"/>
      <c r="C16" s="630"/>
      <c r="D16" s="630"/>
      <c r="E16" s="630"/>
      <c r="F16" s="630"/>
      <c r="G16" s="630"/>
      <c r="H16" s="630"/>
      <c r="I16" s="630"/>
      <c r="J16" s="631"/>
      <c r="K16" s="185"/>
      <c r="L16" s="214"/>
      <c r="M16" s="507"/>
      <c r="N16" s="507"/>
      <c r="O16" s="214"/>
    </row>
    <row r="17" spans="1:29" s="187" customFormat="1" ht="17.25" thickBot="1" x14ac:dyDescent="0.3">
      <c r="A17" s="185"/>
      <c r="B17" s="237"/>
      <c r="C17" s="237"/>
      <c r="D17" s="237"/>
      <c r="E17" s="237"/>
      <c r="F17" s="237"/>
      <c r="G17" s="237"/>
      <c r="H17" s="237"/>
      <c r="I17" s="237"/>
      <c r="J17" s="237"/>
      <c r="K17" s="185"/>
      <c r="L17" s="214"/>
      <c r="M17" s="214"/>
      <c r="N17" s="214"/>
      <c r="O17" s="214"/>
    </row>
    <row r="18" spans="1:29" s="187" customFormat="1" ht="21" thickBot="1" x14ac:dyDescent="0.4">
      <c r="A18" s="185"/>
      <c r="B18" s="185"/>
      <c r="C18" s="185"/>
      <c r="D18" s="185"/>
      <c r="E18" s="238" t="s">
        <v>311</v>
      </c>
      <c r="F18" s="308">
        <v>0.5</v>
      </c>
      <c r="G18" s="208" t="s">
        <v>313</v>
      </c>
      <c r="H18" s="185"/>
      <c r="I18" s="185"/>
      <c r="J18" s="185"/>
      <c r="K18" s="185"/>
      <c r="L18" s="214"/>
      <c r="M18" s="508" t="s">
        <v>321</v>
      </c>
      <c r="N18" s="509">
        <f>'Step 1 &amp; Step 2 Event Details'!E16</f>
        <v>0</v>
      </c>
      <c r="O18" s="214"/>
    </row>
    <row r="19" spans="1:29" s="187" customFormat="1" ht="20.25" x14ac:dyDescent="0.25">
      <c r="A19" s="185"/>
      <c r="B19" s="185"/>
      <c r="C19" s="185"/>
      <c r="D19" s="185"/>
      <c r="E19" s="309" t="s">
        <v>312</v>
      </c>
      <c r="F19" s="310">
        <f>1-F18</f>
        <v>0.5</v>
      </c>
      <c r="G19" s="185"/>
      <c r="H19" s="185"/>
      <c r="I19" s="185"/>
      <c r="J19" s="185"/>
      <c r="K19" s="185"/>
    </row>
    <row r="20" spans="1:29" s="187" customFormat="1" ht="14.25" x14ac:dyDescent="0.25">
      <c r="A20" s="185"/>
      <c r="B20" s="185"/>
      <c r="C20" s="185"/>
      <c r="D20" s="185"/>
      <c r="E20" s="423"/>
      <c r="F20" s="424"/>
      <c r="G20" s="185"/>
      <c r="H20" s="185"/>
      <c r="I20" s="185"/>
      <c r="J20" s="185"/>
      <c r="K20" s="185"/>
      <c r="L20" s="214"/>
      <c r="M20" s="214"/>
      <c r="N20" s="214"/>
      <c r="O20" s="214"/>
    </row>
    <row r="21" spans="1:29" s="187" customFormat="1" ht="20.25" x14ac:dyDescent="0.35">
      <c r="A21" s="185"/>
      <c r="B21" s="239" t="s">
        <v>164</v>
      </c>
      <c r="C21" s="240"/>
      <c r="D21" s="240"/>
      <c r="E21" s="240"/>
      <c r="F21" s="240"/>
      <c r="G21" s="240"/>
      <c r="H21" s="240"/>
      <c r="I21" s="240"/>
      <c r="J21" s="240"/>
      <c r="K21" s="185"/>
      <c r="L21" s="214"/>
    </row>
    <row r="22" spans="1:29" s="200" customFormat="1" ht="15" thickBot="1" x14ac:dyDescent="0.3">
      <c r="A22" s="194"/>
      <c r="B22" s="642" t="s">
        <v>162</v>
      </c>
      <c r="C22" s="642"/>
      <c r="D22" s="642"/>
      <c r="E22" s="642"/>
      <c r="F22" s="642"/>
      <c r="G22" s="643" t="s">
        <v>157</v>
      </c>
      <c r="H22" s="643"/>
      <c r="I22" s="606" t="s">
        <v>351</v>
      </c>
      <c r="J22" s="607"/>
      <c r="K22" s="194"/>
      <c r="P22" s="187"/>
    </row>
    <row r="23" spans="1:29" s="187" customFormat="1" ht="85.5" x14ac:dyDescent="0.25">
      <c r="A23" s="194"/>
      <c r="B23" s="241" t="s">
        <v>124</v>
      </c>
      <c r="C23" s="220" t="s">
        <v>142</v>
      </c>
      <c r="D23" s="220" t="s">
        <v>134</v>
      </c>
      <c r="E23" s="242" t="s">
        <v>296</v>
      </c>
      <c r="F23" s="242" t="s">
        <v>318</v>
      </c>
      <c r="G23" s="221" t="s">
        <v>158</v>
      </c>
      <c r="H23" s="221" t="s">
        <v>322</v>
      </c>
      <c r="I23" s="608"/>
      <c r="J23" s="609"/>
      <c r="K23" s="185"/>
      <c r="L23" s="222"/>
      <c r="M23" s="223" t="s">
        <v>126</v>
      </c>
      <c r="N23" s="243" t="s">
        <v>132</v>
      </c>
      <c r="O23" s="243" t="s">
        <v>135</v>
      </c>
      <c r="P23" s="244" t="s">
        <v>131</v>
      </c>
      <c r="Q23" s="243" t="s">
        <v>132</v>
      </c>
      <c r="R23" s="243" t="s">
        <v>135</v>
      </c>
      <c r="S23" s="244" t="s">
        <v>131</v>
      </c>
      <c r="T23" s="243" t="s">
        <v>132</v>
      </c>
      <c r="U23" s="346" t="s">
        <v>135</v>
      </c>
      <c r="V23" s="406" t="s">
        <v>131</v>
      </c>
      <c r="W23" s="243" t="s">
        <v>132</v>
      </c>
      <c r="X23" s="407" t="s">
        <v>135</v>
      </c>
      <c r="Y23" s="515"/>
      <c r="Z23" s="348"/>
      <c r="AA23" s="348"/>
      <c r="AB23" s="348"/>
    </row>
    <row r="24" spans="1:29" s="187" customFormat="1" ht="14.25" x14ac:dyDescent="0.25">
      <c r="A24" s="194"/>
      <c r="B24" s="192" t="s">
        <v>90</v>
      </c>
      <c r="C24" s="528" t="s">
        <v>386</v>
      </c>
      <c r="D24" s="225" t="s">
        <v>10</v>
      </c>
      <c r="E24" s="225" t="s">
        <v>108</v>
      </c>
      <c r="F24" s="356">
        <f>$N$18</f>
        <v>0</v>
      </c>
      <c r="G24" s="510" t="str">
        <f>IF((SUMIF($L$24:$L$29,B24,$O$24:$O$29)+SUMIF($P$24:$P$29,B24,$R$24:$R$29)+SUMIF($S$24:$S$29,B24,$U$24:$U$29)+SUMIF($V$24:$V$29,B24,$X$24:$X$29))=0,"",(SUMIF($L$24:$L$29,B24,$O$24:$O$29)+SUMIF($P$24:$P$29,B24,$R$24:$R$29)+SUMIF($S$24:$S$29,B24,$U$24:$U$29)+SUMIF($V$24:$V$29,B24,$X$24:$X$29)))</f>
        <v/>
      </c>
      <c r="H24" s="524" t="str">
        <f>IFERROR(IF(ROUNDUP($G24/($F24*VLOOKUP($E24,'Drop Downs and Assumptions'!$AB$2:$AD$13,$M$15,FALSE)),0)&lt;3,IF('Step 1 &amp; Step 2 Event Details'!$E$17&lt;$M$12,$N$12,IF('Step 1 &amp; Step 2 Event Details'!$E$17&lt;$M$13,$N$13,$M$15)),ROUNDUP($G24/($F24*VLOOKUP($E24,'Drop Downs and Assumptions'!$AB$2:$AD$13,3,FALSE)),0)),"")</f>
        <v/>
      </c>
      <c r="I24" s="604" t="str">
        <f>IF(F18=0,"Consider how event patrons will dispose of their waste and recycling (e.g. are bins available or will they return waste/recycling back to the event stalls)",IF(C69="","","&gt;")&amp;C69&amp;CHAR(10)&amp;IF(C70="","","&gt;"&amp;C70))</f>
        <v xml:space="preserve">
</v>
      </c>
      <c r="J24" s="605"/>
      <c r="K24" s="185"/>
      <c r="L24" s="226" t="s">
        <v>90</v>
      </c>
      <c r="M24" s="227">
        <f>'Step 1 &amp; Step 2 Event Details'!I26*$F$18</f>
        <v>0</v>
      </c>
      <c r="N24" s="228" t="b">
        <f t="shared" ref="N24:N29" si="0">IFERROR(IF(VLOOKUP(L24,$B$24:$D$27,3,FALSE)="Yes",TRUE(),FALSE()),FALSE())</f>
        <v>1</v>
      </c>
      <c r="O24" s="229">
        <f t="shared" ref="O24:O29" si="1">IF($N24,$M24,0)</f>
        <v>0</v>
      </c>
      <c r="P24" s="226" t="s">
        <v>315</v>
      </c>
      <c r="Q24" s="228" t="b">
        <f>IFERROR(IF(VLOOKUP(P24,$B$24:$D$27,3,FALSE)="Yes",TRUE(),FALSE()),FALSE())</f>
        <v>1</v>
      </c>
      <c r="R24" s="229">
        <f t="shared" ref="R24:R29" si="2">IF(O24&gt;0,0,IF($Q24,$M24,0))</f>
        <v>0</v>
      </c>
      <c r="S24" s="226" t="s">
        <v>315</v>
      </c>
      <c r="T24" s="228" t="b">
        <f>IFERROR(IF(VLOOKUP(S24,$B$24:$D$27,3,FALSE)="Yes",TRUE(),FALSE()),FALSE())</f>
        <v>1</v>
      </c>
      <c r="U24" s="347">
        <f t="shared" ref="U24:U29" si="3">IF(SUM(O24,R24)&gt;0,0,IF($T24,$M24,0))</f>
        <v>0</v>
      </c>
      <c r="V24" s="353" t="b">
        <f>IFERROR(IF(VLOOKUP(#REF!,$B$24:$D$27,3,FALSE)="Yes",TRUE(),FALSE()),FALSE())</f>
        <v>0</v>
      </c>
      <c r="W24" s="228" t="b">
        <f t="shared" ref="W24:W29" si="4">IFERROR(IF(VLOOKUP(U24,$B$24:$D$27,3,FALSE)="Yes",TRUE(),FALSE()),FALSE())</f>
        <v>0</v>
      </c>
      <c r="X24" s="230">
        <f t="shared" ref="X24:X29" si="5">IF(SUM(O24,R24,U24)&gt;0,0,IF(W24,$M24,0))</f>
        <v>0</v>
      </c>
      <c r="Y24" s="516" t="str">
        <f>B24</f>
        <v>Organics/food waste</v>
      </c>
      <c r="Z24" s="348" t="str">
        <f>E24</f>
        <v>240L</v>
      </c>
      <c r="AA24" s="350" t="str">
        <f>Y24&amp;Z24</f>
        <v>Organics/food waste240L</v>
      </c>
      <c r="AB24" s="348" t="str">
        <f>H24</f>
        <v/>
      </c>
    </row>
    <row r="25" spans="1:29" s="187" customFormat="1" ht="14.25" x14ac:dyDescent="0.25">
      <c r="A25" s="194"/>
      <c r="B25" s="192" t="s">
        <v>307</v>
      </c>
      <c r="C25" s="245" t="s">
        <v>15</v>
      </c>
      <c r="D25" s="225" t="s">
        <v>10</v>
      </c>
      <c r="E25" s="225" t="s">
        <v>108</v>
      </c>
      <c r="F25" s="356">
        <f t="shared" ref="F25:F27" si="6">$N$18</f>
        <v>0</v>
      </c>
      <c r="G25" s="510" t="str">
        <f>IF((SUMIF($L$24:$L$29,B25,$O$24:$O$29)+SUMIF($P$24:$P$29,B25,$R$24:$R$29)+SUMIF($S$24:$S$29,B25,$U$24:$U$29)+SUMIF($V$24:$V$29,B25,$X$24:$X$29))=0,"",(SUMIF($L$24:$L$29,B25,$O$24:$O$29)+SUMIF($P$24:$P$29,B25,$R$24:$R$29)+SUMIF($S$24:$S$29,B25,$U$24:$U$29)+SUMIF($V$24:$V$29,B25,$X$24:$X$29)))</f>
        <v/>
      </c>
      <c r="H25" s="524" t="str">
        <f>IFERROR(IF(ROUNDUP($G25/($F25*VLOOKUP($E25,'Drop Downs and Assumptions'!$AB$2:$AD$13,$M$15,FALSE)),0)&lt;3,IF('Step 1 &amp; Step 2 Event Details'!$E$17&lt;$M$12,$N$12,IF('Step 1 &amp; Step 2 Event Details'!$E$17&lt;$M$13,$N$13,$M$15)),ROUNDUP($G25/($F25*VLOOKUP($E25,'Drop Downs and Assumptions'!$AB$2:$AD$13,3,FALSE)),0)),"")</f>
        <v/>
      </c>
      <c r="I25" s="604"/>
      <c r="J25" s="605"/>
      <c r="K25" s="185"/>
      <c r="L25" s="226" t="s">
        <v>307</v>
      </c>
      <c r="M25" s="227">
        <f>'Step 1 &amp; Step 2 Event Details'!I27*$F$18</f>
        <v>0</v>
      </c>
      <c r="N25" s="228" t="b">
        <f t="shared" si="0"/>
        <v>1</v>
      </c>
      <c r="O25" s="229">
        <f t="shared" si="1"/>
        <v>0</v>
      </c>
      <c r="P25" s="226" t="s">
        <v>3</v>
      </c>
      <c r="Q25" s="228" t="b">
        <f t="shared" ref="Q25:Q29" si="7">IFERROR(IF(VLOOKUP(P25,$B$24:$D$27,3,FALSE)="Yes",TRUE(),FALSE()),FALSE())</f>
        <v>0</v>
      </c>
      <c r="R25" s="229">
        <f t="shared" si="2"/>
        <v>0</v>
      </c>
      <c r="S25" s="226" t="s">
        <v>315</v>
      </c>
      <c r="T25" s="228" t="b">
        <f t="shared" ref="T25:T29" si="8">IFERROR(IF(VLOOKUP(S25,$B$24:$D$27,3,FALSE)="Yes",TRUE(),FALSE()),FALSE())</f>
        <v>1</v>
      </c>
      <c r="U25" s="347">
        <f t="shared" si="3"/>
        <v>0</v>
      </c>
      <c r="V25" s="353" t="b">
        <f>IFERROR(IF(VLOOKUP(#REF!,$B$24:$D$27,3,FALSE)="Yes",TRUE(),FALSE()),FALSE())</f>
        <v>0</v>
      </c>
      <c r="W25" s="228" t="b">
        <f t="shared" si="4"/>
        <v>0</v>
      </c>
      <c r="X25" s="230">
        <f t="shared" si="5"/>
        <v>0</v>
      </c>
      <c r="Y25" s="516" t="str">
        <f>B25</f>
        <v>10c drinks containers</v>
      </c>
      <c r="Z25" s="348" t="str">
        <f>E25</f>
        <v>240L</v>
      </c>
      <c r="AA25" s="350" t="str">
        <f>Y25&amp;Z25</f>
        <v>10c drinks containers240L</v>
      </c>
      <c r="AB25" s="348" t="str">
        <f>H25</f>
        <v/>
      </c>
    </row>
    <row r="26" spans="1:29" s="187" customFormat="1" ht="14.25" x14ac:dyDescent="0.25">
      <c r="A26" s="194"/>
      <c r="B26" s="333" t="s">
        <v>3</v>
      </c>
      <c r="C26" s="245" t="s">
        <v>15</v>
      </c>
      <c r="D26" s="225" t="s">
        <v>8</v>
      </c>
      <c r="E26" s="225" t="s">
        <v>108</v>
      </c>
      <c r="F26" s="356">
        <f t="shared" si="6"/>
        <v>0</v>
      </c>
      <c r="G26" s="510" t="str">
        <f>IF((SUMIF($L$24:$L$29,B26,$O$24:$O$29)+SUMIF($P$24:$P$29,B26,$R$24:$R$29)+SUMIF($S$24:$S$29,B26,$U$24:$U$29)+SUMIF($V$24:$V$29,B26,$X$24:$X$29))=0,"",(SUMIF($L$24:$L$29,B26,$O$24:$O$29)+SUMIF($P$24:$P$29,B26,$R$24:$R$29)+SUMIF($S$24:$S$29,B26,$U$24:$U$29)+SUMIF($V$24:$V$29,B26,$X$24:$X$29)))</f>
        <v/>
      </c>
      <c r="H26" s="524" t="str">
        <f>IFERROR(IF(ROUNDUP($G26/($F26*VLOOKUP($E26,'Drop Downs and Assumptions'!$AB$2:$AD$13,$M$15,FALSE)),0)&lt;3,IF('Step 1 &amp; Step 2 Event Details'!$E$17&lt;$M$12,$N$12,IF('Step 1 &amp; Step 2 Event Details'!$E$17&lt;$M$13,$N$13,$M$15)),ROUNDUP($G26/($F26*VLOOKUP($E26,'Drop Downs and Assumptions'!$AB$2:$AD$13,3,FALSE)),0)),"")</f>
        <v/>
      </c>
      <c r="I26" s="604"/>
      <c r="J26" s="605"/>
      <c r="K26" s="185"/>
      <c r="L26" s="226" t="s">
        <v>3</v>
      </c>
      <c r="M26" s="227">
        <f>'Step 1 &amp; Step 2 Event Details'!I28*$F$18</f>
        <v>0</v>
      </c>
      <c r="N26" s="228" t="b">
        <f t="shared" si="0"/>
        <v>0</v>
      </c>
      <c r="O26" s="229">
        <f t="shared" si="1"/>
        <v>0</v>
      </c>
      <c r="P26" s="226" t="s">
        <v>315</v>
      </c>
      <c r="Q26" s="228" t="b">
        <f t="shared" si="7"/>
        <v>1</v>
      </c>
      <c r="R26" s="229">
        <f t="shared" si="2"/>
        <v>0</v>
      </c>
      <c r="S26" s="226" t="s">
        <v>315</v>
      </c>
      <c r="T26" s="228" t="b">
        <f t="shared" si="8"/>
        <v>1</v>
      </c>
      <c r="U26" s="347">
        <f t="shared" si="3"/>
        <v>0</v>
      </c>
      <c r="V26" s="353" t="b">
        <f>IFERROR(IF(VLOOKUP(#REF!,$B$24:$D$27,3,FALSE)="Yes",TRUE(),FALSE()),FALSE())</f>
        <v>0</v>
      </c>
      <c r="W26" s="228" t="b">
        <f t="shared" si="4"/>
        <v>0</v>
      </c>
      <c r="X26" s="230">
        <f t="shared" si="5"/>
        <v>0</v>
      </c>
      <c r="Y26" s="516" t="str">
        <f>B26</f>
        <v>Comingled recycling</v>
      </c>
      <c r="Z26" s="348" t="str">
        <f>E26</f>
        <v>240L</v>
      </c>
      <c r="AA26" s="350" t="str">
        <f>Y26&amp;Z26</f>
        <v>Comingled recycling240L</v>
      </c>
      <c r="AB26" s="348" t="str">
        <f>H26</f>
        <v/>
      </c>
    </row>
    <row r="27" spans="1:29" s="187" customFormat="1" ht="14.25" x14ac:dyDescent="0.25">
      <c r="A27" s="194"/>
      <c r="B27" s="192" t="s">
        <v>315</v>
      </c>
      <c r="C27" s="246" t="s">
        <v>316</v>
      </c>
      <c r="D27" s="334" t="s">
        <v>10</v>
      </c>
      <c r="E27" s="225" t="s">
        <v>108</v>
      </c>
      <c r="F27" s="356">
        <f t="shared" si="6"/>
        <v>0</v>
      </c>
      <c r="G27" s="510" t="str">
        <f>IF((SUMIF($L$24:$L$29,B27,$O$24:$O$29)+SUMIF($P$24:$P$29,B27,$R$24:$R$29)+SUMIF($S$24:$S$29,B27,$U$24:$U$29)+SUMIF($V$24:$V$29,B27,$X$24:$X$29))=0,"",(SUMIF($L$24:$L$29,B27,$O$24:$O$29)+SUMIF($P$24:$P$29,B27,$R$24:$R$29)+SUMIF($S$24:$S$29,B27,$U$24:$U$29)+SUMIF($V$24:$V$29,B27,$X$24:$X$29)))</f>
        <v/>
      </c>
      <c r="H27" s="524" t="str">
        <f>IFERROR(IF(ROUNDUP($G27/($F27*VLOOKUP($E27,'Drop Downs and Assumptions'!$AB$2:$AD$13,$M$15,FALSE)),0)&lt;3,IF('Step 1 &amp; Step 2 Event Details'!$E$17&lt;$M$12,$N$12,IF('Step 1 &amp; Step 2 Event Details'!$E$17&lt;$M$13,$N$13,$M$15)),ROUNDUP($G27/($F27*VLOOKUP($E27,'Drop Downs and Assumptions'!$AB$2:$AD$13,3,FALSE)),0)),"")</f>
        <v/>
      </c>
      <c r="I27" s="604"/>
      <c r="J27" s="605"/>
      <c r="K27" s="185"/>
      <c r="L27" s="337" t="s">
        <v>0</v>
      </c>
      <c r="M27" s="344">
        <f>'Step 1 &amp; Step 2 Event Details'!I29*$F$18</f>
        <v>0</v>
      </c>
      <c r="N27" s="336" t="b">
        <f t="shared" si="0"/>
        <v>0</v>
      </c>
      <c r="O27" s="338">
        <f t="shared" si="1"/>
        <v>0</v>
      </c>
      <c r="P27" s="226" t="s">
        <v>3</v>
      </c>
      <c r="Q27" s="341" t="b">
        <f t="shared" si="7"/>
        <v>0</v>
      </c>
      <c r="R27" s="342">
        <f t="shared" si="2"/>
        <v>0</v>
      </c>
      <c r="S27" s="226" t="s">
        <v>315</v>
      </c>
      <c r="T27" s="341" t="b">
        <f t="shared" si="8"/>
        <v>1</v>
      </c>
      <c r="U27" s="351">
        <f t="shared" si="3"/>
        <v>0</v>
      </c>
      <c r="V27" s="518" t="b">
        <f>IFERROR(IF(VLOOKUP(#REF!,$B$24:$D$27,3,FALSE)="Yes",TRUE(),FALSE()),FALSE())</f>
        <v>0</v>
      </c>
      <c r="W27" s="341" t="b">
        <f t="shared" si="4"/>
        <v>0</v>
      </c>
      <c r="X27" s="343">
        <f t="shared" si="5"/>
        <v>0</v>
      </c>
      <c r="Y27" s="516" t="str">
        <f>B27</f>
        <v>General waste or dry waste</v>
      </c>
      <c r="Z27" s="348" t="str">
        <f>E27</f>
        <v>240L</v>
      </c>
      <c r="AA27" s="350" t="str">
        <f>Y27&amp;Z27</f>
        <v>General waste or dry waste240L</v>
      </c>
      <c r="AB27" s="348" t="str">
        <f>H27</f>
        <v/>
      </c>
    </row>
    <row r="28" spans="1:29" s="187" customFormat="1" ht="14.25" x14ac:dyDescent="0.25">
      <c r="A28" s="194"/>
      <c r="B28" s="603" t="str">
        <f>IF(D26="Yes",IF(D25="Yes","*Includes cardboard and clean paper","*Includes cardboard, clean paper and 10c drinks containers"),"")</f>
        <v/>
      </c>
      <c r="C28" s="603"/>
      <c r="D28" s="644" t="s">
        <v>165</v>
      </c>
      <c r="E28" s="645"/>
      <c r="F28" s="646"/>
      <c r="G28" s="232">
        <f>SUM(G24:G27)</f>
        <v>0</v>
      </c>
      <c r="H28" s="525">
        <f>SUM(H24:H27)</f>
        <v>0</v>
      </c>
      <c r="I28" s="392"/>
      <c r="J28" s="392"/>
      <c r="K28" s="185"/>
      <c r="L28" s="337" t="s">
        <v>2</v>
      </c>
      <c r="M28" s="344">
        <f>'Step 1 &amp; Step 2 Event Details'!I30*$F$18</f>
        <v>0</v>
      </c>
      <c r="N28" s="336" t="b">
        <f t="shared" si="0"/>
        <v>0</v>
      </c>
      <c r="O28" s="338">
        <f t="shared" si="1"/>
        <v>0</v>
      </c>
      <c r="P28" s="226" t="s">
        <v>315</v>
      </c>
      <c r="Q28" s="341" t="b">
        <f t="shared" si="7"/>
        <v>1</v>
      </c>
      <c r="R28" s="342">
        <f t="shared" si="2"/>
        <v>0</v>
      </c>
      <c r="S28" s="226" t="s">
        <v>315</v>
      </c>
      <c r="T28" s="341" t="b">
        <f t="shared" si="8"/>
        <v>1</v>
      </c>
      <c r="U28" s="351">
        <f t="shared" si="3"/>
        <v>0</v>
      </c>
      <c r="V28" s="518" t="b">
        <f>IFERROR(IF(VLOOKUP(#REF!,$B$24:$D$27,3,FALSE)="Yes",TRUE(),FALSE()),FALSE())</f>
        <v>0</v>
      </c>
      <c r="W28" s="341" t="b">
        <f t="shared" si="4"/>
        <v>0</v>
      </c>
      <c r="X28" s="343">
        <f t="shared" si="5"/>
        <v>0</v>
      </c>
      <c r="Y28" s="517"/>
      <c r="Z28" s="348"/>
      <c r="AA28" s="348"/>
      <c r="AB28" s="360">
        <f>H28</f>
        <v>0</v>
      </c>
    </row>
    <row r="29" spans="1:29" s="187" customFormat="1" ht="15" thickBot="1" x14ac:dyDescent="0.3">
      <c r="A29" s="194"/>
      <c r="C29" s="185"/>
      <c r="D29" s="185"/>
      <c r="E29" s="185"/>
      <c r="F29" s="185"/>
      <c r="G29" s="185"/>
      <c r="H29" s="185"/>
      <c r="I29" s="185"/>
      <c r="J29" s="185"/>
      <c r="K29" s="185"/>
      <c r="L29" s="339" t="s">
        <v>130</v>
      </c>
      <c r="M29" s="344">
        <f>'Step 1 &amp; Step 2 Event Details'!I31*$F$18</f>
        <v>0</v>
      </c>
      <c r="N29" s="336" t="b">
        <f t="shared" si="0"/>
        <v>0</v>
      </c>
      <c r="O29" s="338">
        <f t="shared" si="1"/>
        <v>0</v>
      </c>
      <c r="P29" s="226" t="s">
        <v>315</v>
      </c>
      <c r="Q29" s="341" t="b">
        <f t="shared" si="7"/>
        <v>1</v>
      </c>
      <c r="R29" s="342">
        <f t="shared" si="2"/>
        <v>0</v>
      </c>
      <c r="S29" s="226" t="s">
        <v>315</v>
      </c>
      <c r="T29" s="341" t="b">
        <f t="shared" si="8"/>
        <v>1</v>
      </c>
      <c r="U29" s="351">
        <f t="shared" si="3"/>
        <v>0</v>
      </c>
      <c r="V29" s="518" t="b">
        <f>IFERROR(IF(VLOOKUP(#REF!,$B$24:$D$27,3,FALSE)="Yes",TRUE(),FALSE()),FALSE())</f>
        <v>0</v>
      </c>
      <c r="W29" s="341" t="b">
        <f t="shared" si="4"/>
        <v>0</v>
      </c>
      <c r="X29" s="343">
        <f t="shared" si="5"/>
        <v>0</v>
      </c>
    </row>
    <row r="30" spans="1:29" s="187" customFormat="1" ht="21" thickBot="1" x14ac:dyDescent="0.4">
      <c r="A30" s="194"/>
      <c r="B30" s="249" t="s">
        <v>297</v>
      </c>
      <c r="C30" s="185"/>
      <c r="D30" s="185"/>
      <c r="E30" s="185"/>
      <c r="F30" s="185"/>
      <c r="G30" s="185"/>
      <c r="H30" s="185"/>
      <c r="I30" s="185"/>
      <c r="J30" s="185"/>
      <c r="K30" s="185"/>
      <c r="L30" s="329" t="s">
        <v>12</v>
      </c>
      <c r="M30" s="330">
        <f>SUM(M24:M27,M28:M29)</f>
        <v>0</v>
      </c>
      <c r="N30" s="331" t="s">
        <v>133</v>
      </c>
      <c r="O30" s="511">
        <f>SUM(O24:O29)</f>
        <v>0</v>
      </c>
      <c r="P30" s="332"/>
      <c r="Q30" s="331" t="s">
        <v>133</v>
      </c>
      <c r="R30" s="511">
        <f>SUM(R24:R29)</f>
        <v>0</v>
      </c>
      <c r="S30" s="332"/>
      <c r="T30" s="331" t="s">
        <v>133</v>
      </c>
      <c r="U30" s="514">
        <f>SUM(U24:U29)</f>
        <v>0</v>
      </c>
      <c r="V30" s="332"/>
      <c r="W30" s="331" t="s">
        <v>133</v>
      </c>
      <c r="X30" s="519">
        <f>SUM(X24:X29)</f>
        <v>0</v>
      </c>
    </row>
    <row r="31" spans="1:29" s="187" customFormat="1" ht="15" thickBot="1" x14ac:dyDescent="0.3">
      <c r="A31" s="194"/>
      <c r="B31" s="650" t="s">
        <v>163</v>
      </c>
      <c r="C31" s="650"/>
      <c r="D31" s="650"/>
      <c r="E31" s="650"/>
      <c r="F31" s="650"/>
      <c r="G31" s="643" t="s">
        <v>157</v>
      </c>
      <c r="H31" s="643"/>
      <c r="I31" s="632" t="s">
        <v>351</v>
      </c>
      <c r="J31" s="633"/>
      <c r="K31" s="185"/>
    </row>
    <row r="32" spans="1:29" s="200" customFormat="1" ht="85.5" x14ac:dyDescent="0.25">
      <c r="A32" s="194"/>
      <c r="B32" s="241" t="s">
        <v>124</v>
      </c>
      <c r="C32" s="220" t="s">
        <v>142</v>
      </c>
      <c r="D32" s="220" t="s">
        <v>134</v>
      </c>
      <c r="E32" s="242" t="s">
        <v>145</v>
      </c>
      <c r="F32" s="242" t="s">
        <v>367</v>
      </c>
      <c r="G32" s="221" t="s">
        <v>325</v>
      </c>
      <c r="H32" s="221" t="s">
        <v>323</v>
      </c>
      <c r="I32" s="634"/>
      <c r="J32" s="635"/>
      <c r="K32" s="185"/>
      <c r="L32" s="222"/>
      <c r="M32" s="223" t="s">
        <v>126</v>
      </c>
      <c r="N32" s="243" t="s">
        <v>132</v>
      </c>
      <c r="O32" s="243" t="s">
        <v>135</v>
      </c>
      <c r="P32" s="244" t="s">
        <v>131</v>
      </c>
      <c r="Q32" s="243" t="s">
        <v>132</v>
      </c>
      <c r="R32" s="243" t="s">
        <v>135</v>
      </c>
      <c r="S32" s="244" t="s">
        <v>131</v>
      </c>
      <c r="T32" s="243" t="s">
        <v>132</v>
      </c>
      <c r="U32" s="243" t="s">
        <v>135</v>
      </c>
      <c r="V32" s="406" t="s">
        <v>131</v>
      </c>
      <c r="W32" s="243" t="s">
        <v>132</v>
      </c>
      <c r="X32" s="407" t="s">
        <v>135</v>
      </c>
      <c r="Y32" s="516"/>
      <c r="Z32" s="348"/>
      <c r="AA32" s="348"/>
      <c r="AB32" s="348"/>
      <c r="AC32" s="187"/>
    </row>
    <row r="33" spans="1:29" s="187" customFormat="1" ht="14.25" x14ac:dyDescent="0.25">
      <c r="A33" s="194"/>
      <c r="B33" s="250" t="s">
        <v>90</v>
      </c>
      <c r="C33" s="529" t="s">
        <v>386</v>
      </c>
      <c r="D33" s="225"/>
      <c r="E33" s="225"/>
      <c r="F33" s="231">
        <v>1</v>
      </c>
      <c r="G33" s="510" t="str">
        <f>IF((SUMIF($L$33:$L$38,B33,$O$33:$O$38)+SUMIF($P$33:$P$38,B33,$R$33:$R$38)+SUMIF($S$33:$S$38,B33,$U$33:$U$38)+SUMIF($V$33:$V$38,B33,$X$33:$X$38))=0,"",(SUMIF($L$33:$L$38,B33,$O$33:$O$38)+SUMIF($P$33:$P$38,B33,$R$33:$R$38)+SUMIF($S$33:$S$38,B33,$U$33:$U$38)+SUMIF($V$33:$V$38,B33,$X$33:$X$38)))</f>
        <v/>
      </c>
      <c r="H33" s="524" t="str">
        <f>IFERROR(IF(ROUNDUP($G33/($F33*VLOOKUP($E33,'Drop Downs and Assumptions'!$AB$2:$AD$13,$M$15,FALSE)),0)&lt;3,IF('Step 1 &amp; Step 2 Event Details'!$E$17&lt;$M$12,$N$12,IF('Step 1 &amp; Step 2 Event Details'!$E$17&lt;$M$13,$N$13,$M$15)),ROUNDUP($G33/($F33*VLOOKUP($E33,'Drop Downs and Assumptions'!$AB$2:$AD$13,3,FALSE)),0)),"")</f>
        <v/>
      </c>
      <c r="I33" s="612" t="str">
        <f>IF(F19=0,"Consider how event stall holders will dispose of their waste and recycling (e.g. are bins available or will they be required to take waste/recyclign with them at the end of the event)",IF(C82="","","&gt;")&amp;C82&amp;CHAR(10)&amp;IF(C83="","","&gt;"&amp;C83))</f>
        <v xml:space="preserve">
</v>
      </c>
      <c r="J33" s="613"/>
      <c r="K33" s="194"/>
      <c r="L33" s="226" t="s">
        <v>90</v>
      </c>
      <c r="M33" s="227">
        <f>'Step 1 &amp; Step 2 Event Details'!I26*$F$19</f>
        <v>0</v>
      </c>
      <c r="N33" s="228" t="b">
        <f t="shared" ref="N33:N38" si="9">IFERROR(IF(VLOOKUP(L33,$B$33:$D$37,3,FALSE)="Yes",TRUE(),FALSE()),FALSE())</f>
        <v>0</v>
      </c>
      <c r="O33" s="229">
        <f t="shared" ref="O33:O38" si="10">IF($N33,$M33,0)</f>
        <v>0</v>
      </c>
      <c r="P33" s="226" t="s">
        <v>315</v>
      </c>
      <c r="Q33" s="228" t="b">
        <f>IFERROR(IF(VLOOKUP(P33,$B$33:$D$37,3,FALSE)="Yes",TRUE(),FALSE()),FALSE())</f>
        <v>1</v>
      </c>
      <c r="R33" s="229">
        <f t="shared" ref="R33:R38" si="11">IF(O33&gt;0,0,IF($Q33,$M33,0))</f>
        <v>0</v>
      </c>
      <c r="S33" s="226" t="s">
        <v>315</v>
      </c>
      <c r="T33" s="228" t="b">
        <f>IFERROR(IF(VLOOKUP(S33,$B$33:$D$37,3,FALSE)="Yes",TRUE(),FALSE()),FALSE())</f>
        <v>1</v>
      </c>
      <c r="U33" s="229">
        <f t="shared" ref="U33:U38" si="12">IF(SUM(O33,R33)&gt;0,0,IF($T33,$M33,0))</f>
        <v>0</v>
      </c>
      <c r="V33" s="226" t="s">
        <v>315</v>
      </c>
      <c r="W33" s="228" t="b">
        <f>IFERROR(IF(VLOOKUP(V33,$B$33:$D$37,3,FALSE)="Yes",TRUE(),FALSE()),FALSE())</f>
        <v>1</v>
      </c>
      <c r="X33" s="230">
        <f t="shared" ref="X33:X38" si="13">IF(SUM(O33,R33,U33)&gt;0,0,IF(W33,$M33,0))</f>
        <v>0</v>
      </c>
      <c r="Y33" s="516" t="str">
        <f>B33</f>
        <v>Organics/food waste</v>
      </c>
      <c r="Z33" s="348">
        <f>E33</f>
        <v>0</v>
      </c>
      <c r="AA33" s="350" t="str">
        <f>Y33&amp;Z33</f>
        <v>Organics/food waste0</v>
      </c>
      <c r="AB33" s="348" t="str">
        <f t="shared" ref="AB33:AB38" si="14">H33</f>
        <v/>
      </c>
      <c r="AC33" s="200"/>
    </row>
    <row r="34" spans="1:29" s="187" customFormat="1" ht="14.25" x14ac:dyDescent="0.25">
      <c r="A34" s="194"/>
      <c r="B34" s="250" t="s">
        <v>307</v>
      </c>
      <c r="C34" s="251" t="s">
        <v>15</v>
      </c>
      <c r="D34" s="225"/>
      <c r="E34" s="225"/>
      <c r="F34" s="231">
        <v>1</v>
      </c>
      <c r="G34" s="510" t="str">
        <f t="shared" ref="G34:G37" si="15">IF((SUMIF($L$33:$L$38,B34,$O$33:$O$38)+SUMIF($P$33:$P$38,B34,$R$33:$R$38)+SUMIF($S$33:$S$38,B34,$U$33:$U$38)+SUMIF($V$33:$V$38,B34,$X$33:$X$38))=0,"",(SUMIF($L$33:$L$38,B34,$O$33:$O$38)+SUMIF($P$33:$P$38,B34,$R$33:$R$38)+SUMIF($S$33:$S$38,B34,$U$33:$U$38)+SUMIF($V$33:$V$38,B34,$X$33:$X$38)))</f>
        <v/>
      </c>
      <c r="H34" s="524" t="str">
        <f>IFERROR(IF(ROUNDUP($G34/($F34*VLOOKUP($E34,'Drop Downs and Assumptions'!$AB$2:$AD$13,$M$15,FALSE)),0)&lt;3,IF('Step 1 &amp; Step 2 Event Details'!$E$17&lt;$M$12,$N$12,IF('Step 1 &amp; Step 2 Event Details'!$E$17&lt;$M$13,$N$13,$M$15)),ROUNDUP($G34/($F34*VLOOKUP($E34,'Drop Downs and Assumptions'!$AB$2:$AD$13,3,FALSE)),0)),"")</f>
        <v/>
      </c>
      <c r="I34" s="614"/>
      <c r="J34" s="615"/>
      <c r="K34" s="185"/>
      <c r="L34" s="226" t="s">
        <v>307</v>
      </c>
      <c r="M34" s="227">
        <f>'Step 1 &amp; Step 2 Event Details'!I27*$F$19</f>
        <v>0</v>
      </c>
      <c r="N34" s="228" t="b">
        <f t="shared" si="9"/>
        <v>0</v>
      </c>
      <c r="O34" s="229">
        <f t="shared" si="10"/>
        <v>0</v>
      </c>
      <c r="P34" s="226" t="s">
        <v>3</v>
      </c>
      <c r="Q34" s="228" t="b">
        <f t="shared" ref="Q34:Q38" si="16">IFERROR(IF(VLOOKUP(P34,$B$33:$D$37,3,FALSE)="Yes",TRUE(),FALSE()),FALSE())</f>
        <v>0</v>
      </c>
      <c r="R34" s="229">
        <f t="shared" si="11"/>
        <v>0</v>
      </c>
      <c r="S34" s="226" t="s">
        <v>315</v>
      </c>
      <c r="T34" s="228" t="b">
        <f t="shared" ref="T34:T38" si="17">IFERROR(IF(VLOOKUP(S34,$B$33:$D$37,3,FALSE)="Yes",TRUE(),FALSE()),FALSE())</f>
        <v>1</v>
      </c>
      <c r="U34" s="229">
        <f t="shared" si="12"/>
        <v>0</v>
      </c>
      <c r="V34" s="226" t="s">
        <v>315</v>
      </c>
      <c r="W34" s="228" t="b">
        <f t="shared" ref="W34:W38" si="18">IFERROR(IF(VLOOKUP(V34,$B$33:$D$37,3,FALSE)="Yes",TRUE(),FALSE()),FALSE())</f>
        <v>1</v>
      </c>
      <c r="X34" s="230">
        <f t="shared" si="13"/>
        <v>0</v>
      </c>
      <c r="Y34" s="516" t="str">
        <f>B34</f>
        <v>10c drinks containers</v>
      </c>
      <c r="Z34" s="348">
        <f>E34</f>
        <v>0</v>
      </c>
      <c r="AA34" s="350" t="str">
        <f t="shared" ref="AA34:AA37" si="19">Y34&amp;Z34</f>
        <v>10c drinks containers0</v>
      </c>
      <c r="AB34" s="348" t="str">
        <f t="shared" si="14"/>
        <v/>
      </c>
    </row>
    <row r="35" spans="1:29" s="187" customFormat="1" ht="14.25" x14ac:dyDescent="0.25">
      <c r="A35" s="194"/>
      <c r="B35" s="333" t="s">
        <v>3</v>
      </c>
      <c r="C35" s="251" t="s">
        <v>15</v>
      </c>
      <c r="D35" s="225"/>
      <c r="E35" s="225"/>
      <c r="F35" s="231">
        <v>1</v>
      </c>
      <c r="G35" s="510" t="str">
        <f t="shared" si="15"/>
        <v/>
      </c>
      <c r="H35" s="524" t="str">
        <f>IFERROR(IF(ROUNDUP($G35/($F35*VLOOKUP($E35,'Drop Downs and Assumptions'!$AB$2:$AD$13,$M$15,FALSE)),0)&lt;3,IF('Step 1 &amp; Step 2 Event Details'!$E$17&lt;$M$12,$N$12,IF('Step 1 &amp; Step 2 Event Details'!$E$17&lt;$M$13,$N$13,$M$15)),ROUNDUP($G35/($F35*VLOOKUP($E35,'Drop Downs and Assumptions'!$AB$2:$AD$13,3,FALSE)),0)),"")</f>
        <v/>
      </c>
      <c r="I35" s="614"/>
      <c r="J35" s="615"/>
      <c r="K35" s="185"/>
      <c r="L35" s="226" t="s">
        <v>3</v>
      </c>
      <c r="M35" s="227">
        <f>'Step 1 &amp; Step 2 Event Details'!I28*$F$19</f>
        <v>0</v>
      </c>
      <c r="N35" s="228" t="b">
        <f t="shared" si="9"/>
        <v>0</v>
      </c>
      <c r="O35" s="229">
        <f t="shared" si="10"/>
        <v>0</v>
      </c>
      <c r="P35" s="226" t="s">
        <v>315</v>
      </c>
      <c r="Q35" s="228" t="b">
        <f t="shared" si="16"/>
        <v>1</v>
      </c>
      <c r="R35" s="229">
        <f t="shared" si="11"/>
        <v>0</v>
      </c>
      <c r="S35" s="226" t="s">
        <v>315</v>
      </c>
      <c r="T35" s="228" t="b">
        <f t="shared" si="17"/>
        <v>1</v>
      </c>
      <c r="U35" s="229">
        <f t="shared" si="12"/>
        <v>0</v>
      </c>
      <c r="V35" s="226" t="s">
        <v>315</v>
      </c>
      <c r="W35" s="228" t="b">
        <f t="shared" si="18"/>
        <v>1</v>
      </c>
      <c r="X35" s="230">
        <f t="shared" si="13"/>
        <v>0</v>
      </c>
      <c r="Y35" s="516" t="str">
        <f>B35</f>
        <v>Comingled recycling</v>
      </c>
      <c r="Z35" s="348">
        <f>E35</f>
        <v>0</v>
      </c>
      <c r="AA35" s="350" t="str">
        <f t="shared" si="19"/>
        <v>Comingled recycling0</v>
      </c>
      <c r="AB35" s="348" t="str">
        <f t="shared" si="14"/>
        <v/>
      </c>
    </row>
    <row r="36" spans="1:29" s="187" customFormat="1" ht="14.25" x14ac:dyDescent="0.25">
      <c r="A36" s="194"/>
      <c r="B36" s="250" t="s">
        <v>0</v>
      </c>
      <c r="C36" s="530" t="s">
        <v>15</v>
      </c>
      <c r="D36" s="225"/>
      <c r="E36" s="225"/>
      <c r="F36" s="231">
        <v>1</v>
      </c>
      <c r="G36" s="510" t="str">
        <f t="shared" si="15"/>
        <v/>
      </c>
      <c r="H36" s="524" t="str">
        <f>IFERROR(IF(ROUNDUP($G36/($F36*VLOOKUP($E36,'Drop Downs and Assumptions'!$AB$2:$AD$13,$M$15,FALSE)),0)&lt;3,IF('Step 1 &amp; Step 2 Event Details'!$E$17&lt;$M$12,$N$12,IF('Step 1 &amp; Step 2 Event Details'!$E$17&lt;$M$13,$N$13,$M$15)),ROUNDUP($G36/($F36*VLOOKUP($E36,'Drop Downs and Assumptions'!$AB$2:$AD$13,3,FALSE)),0)),"")</f>
        <v/>
      </c>
      <c r="I36" s="614"/>
      <c r="J36" s="615"/>
      <c r="K36" s="185"/>
      <c r="L36" s="226" t="s">
        <v>0</v>
      </c>
      <c r="M36" s="227">
        <f>'Step 1 &amp; Step 2 Event Details'!I29*$F$19</f>
        <v>0</v>
      </c>
      <c r="N36" s="341" t="b">
        <f t="shared" si="9"/>
        <v>0</v>
      </c>
      <c r="O36" s="342">
        <f t="shared" si="10"/>
        <v>0</v>
      </c>
      <c r="P36" s="226" t="s">
        <v>3</v>
      </c>
      <c r="Q36" s="341" t="b">
        <f t="shared" si="16"/>
        <v>0</v>
      </c>
      <c r="R36" s="342">
        <f t="shared" si="11"/>
        <v>0</v>
      </c>
      <c r="S36" s="226" t="s">
        <v>315</v>
      </c>
      <c r="T36" s="341" t="b">
        <f t="shared" si="17"/>
        <v>1</v>
      </c>
      <c r="U36" s="342">
        <f t="shared" si="12"/>
        <v>0</v>
      </c>
      <c r="V36" s="226" t="s">
        <v>315</v>
      </c>
      <c r="W36" s="341" t="b">
        <f t="shared" si="18"/>
        <v>1</v>
      </c>
      <c r="X36" s="343">
        <f t="shared" si="13"/>
        <v>0</v>
      </c>
      <c r="Y36" s="516" t="str">
        <f>B36</f>
        <v>Cardboard and clean paper</v>
      </c>
      <c r="Z36" s="348">
        <f>E36</f>
        <v>0</v>
      </c>
      <c r="AA36" s="350" t="str">
        <f t="shared" si="19"/>
        <v>Cardboard and clean paper0</v>
      </c>
      <c r="AB36" s="348" t="str">
        <f t="shared" si="14"/>
        <v/>
      </c>
    </row>
    <row r="37" spans="1:29" s="187" customFormat="1" ht="14.25" x14ac:dyDescent="0.25">
      <c r="A37" s="194"/>
      <c r="B37" s="192" t="s">
        <v>315</v>
      </c>
      <c r="C37" s="246" t="s">
        <v>316</v>
      </c>
      <c r="D37" s="334" t="s">
        <v>10</v>
      </c>
      <c r="E37" s="225" t="s">
        <v>111</v>
      </c>
      <c r="F37" s="231">
        <v>1</v>
      </c>
      <c r="G37" s="510" t="str">
        <f t="shared" si="15"/>
        <v/>
      </c>
      <c r="H37" s="524" t="str">
        <f>IFERROR(IF(ROUNDUP($G37/($F37*VLOOKUP($E37,'Drop Downs and Assumptions'!$AB$2:$AD$13,$M$15,FALSE)),0)&lt;3,IF('Step 1 &amp; Step 2 Event Details'!$E$17&lt;$M$12,$N$12,IF('Step 1 &amp; Step 2 Event Details'!$E$17&lt;$M$13,$N$13,$M$15)),ROUNDUP($G37/($F37*VLOOKUP($E37,'Drop Downs and Assumptions'!$AB$2:$AD$13,3,FALSE)),0)),"")</f>
        <v/>
      </c>
      <c r="I37" s="616"/>
      <c r="J37" s="617"/>
      <c r="K37" s="185"/>
      <c r="L37" s="337" t="s">
        <v>2</v>
      </c>
      <c r="M37" s="335">
        <f>'Step 1 &amp; Step 2 Event Details'!I30*$F$19</f>
        <v>0</v>
      </c>
      <c r="N37" s="336" t="b">
        <f t="shared" si="9"/>
        <v>0</v>
      </c>
      <c r="O37" s="338">
        <f t="shared" si="10"/>
        <v>0</v>
      </c>
      <c r="P37" s="226" t="s">
        <v>315</v>
      </c>
      <c r="Q37" s="341" t="b">
        <f t="shared" si="16"/>
        <v>1</v>
      </c>
      <c r="R37" s="342">
        <f t="shared" si="11"/>
        <v>0</v>
      </c>
      <c r="S37" s="226" t="s">
        <v>315</v>
      </c>
      <c r="T37" s="341" t="b">
        <f t="shared" si="17"/>
        <v>1</v>
      </c>
      <c r="U37" s="342">
        <f t="shared" si="12"/>
        <v>0</v>
      </c>
      <c r="V37" s="226" t="s">
        <v>315</v>
      </c>
      <c r="W37" s="341" t="b">
        <f t="shared" si="18"/>
        <v>1</v>
      </c>
      <c r="X37" s="343">
        <f t="shared" si="13"/>
        <v>0</v>
      </c>
      <c r="Y37" s="516" t="str">
        <f>B37</f>
        <v>General waste or dry waste</v>
      </c>
      <c r="Z37" s="348" t="str">
        <f>E37</f>
        <v>1100L</v>
      </c>
      <c r="AA37" s="350" t="str">
        <f t="shared" si="19"/>
        <v>General waste or dry waste1100L</v>
      </c>
      <c r="AB37" s="348" t="str">
        <f t="shared" si="14"/>
        <v/>
      </c>
    </row>
    <row r="38" spans="1:29" s="187" customFormat="1" ht="15" thickBot="1" x14ac:dyDescent="0.3">
      <c r="A38" s="194"/>
      <c r="B38" s="603" t="str">
        <f>IF(D35="Yes",IF(AND(D34="Yes",D36="Yes"),"",IF(AND(D34="Yes",D36="No"),"*Includes cardboard and clean paper",IF(AND(D34="No",D36="Yes"),"*Includes 10c drinks containers",IF(AND(D34="No",D36="No"),"*Includes cardboard, clean paper and 10c drinks containers","")))),"")</f>
        <v/>
      </c>
      <c r="C38" s="603"/>
      <c r="D38" s="647" t="s">
        <v>161</v>
      </c>
      <c r="E38" s="648"/>
      <c r="F38" s="649"/>
      <c r="G38" s="232">
        <f>SUM(G33:G37)</f>
        <v>0</v>
      </c>
      <c r="H38" s="525">
        <f>SUM(H33:H37)</f>
        <v>0</v>
      </c>
      <c r="I38" s="392"/>
      <c r="J38" s="392"/>
      <c r="K38" s="185"/>
      <c r="L38" s="339" t="s">
        <v>130</v>
      </c>
      <c r="M38" s="335">
        <f>'Step 1 &amp; Step 2 Event Details'!I31*$F$19</f>
        <v>0</v>
      </c>
      <c r="N38" s="336" t="b">
        <f t="shared" si="9"/>
        <v>0</v>
      </c>
      <c r="O38" s="340">
        <f t="shared" si="10"/>
        <v>0</v>
      </c>
      <c r="P38" s="226" t="s">
        <v>315</v>
      </c>
      <c r="Q38" s="341" t="b">
        <f t="shared" si="16"/>
        <v>1</v>
      </c>
      <c r="R38" s="512">
        <f t="shared" si="11"/>
        <v>0</v>
      </c>
      <c r="S38" s="226" t="s">
        <v>315</v>
      </c>
      <c r="T38" s="341" t="b">
        <f t="shared" si="17"/>
        <v>1</v>
      </c>
      <c r="U38" s="512">
        <f t="shared" si="12"/>
        <v>0</v>
      </c>
      <c r="V38" s="226" t="s">
        <v>315</v>
      </c>
      <c r="W38" s="341" t="b">
        <f t="shared" si="18"/>
        <v>1</v>
      </c>
      <c r="X38" s="520">
        <f t="shared" si="13"/>
        <v>0</v>
      </c>
      <c r="Y38" s="515"/>
      <c r="Z38" s="348"/>
      <c r="AA38" s="348"/>
      <c r="AB38" s="360">
        <f t="shared" si="14"/>
        <v>0</v>
      </c>
    </row>
    <row r="39" spans="1:29" s="187" customFormat="1" ht="15" thickBot="1" x14ac:dyDescent="0.3">
      <c r="A39" s="194"/>
      <c r="C39" s="252"/>
      <c r="D39" s="253"/>
      <c r="E39" s="254"/>
      <c r="F39" s="255"/>
      <c r="G39" s="185"/>
      <c r="H39" s="185"/>
      <c r="I39" s="185"/>
      <c r="J39" s="185"/>
      <c r="K39" s="185"/>
      <c r="L39" s="329" t="s">
        <v>12</v>
      </c>
      <c r="M39" s="330">
        <f>SUM(M33:M36,M37:M38)</f>
        <v>0</v>
      </c>
      <c r="N39" s="331" t="s">
        <v>133</v>
      </c>
      <c r="O39" s="511">
        <f>SUM(O33:O38)</f>
        <v>0</v>
      </c>
      <c r="P39" s="332"/>
      <c r="Q39" s="331" t="s">
        <v>133</v>
      </c>
      <c r="R39" s="511">
        <f>SUM(R33:R38)</f>
        <v>0</v>
      </c>
      <c r="S39" s="332"/>
      <c r="T39" s="331" t="s">
        <v>133</v>
      </c>
      <c r="U39" s="511">
        <f>SUM(U33:U38)</f>
        <v>0</v>
      </c>
      <c r="V39" s="332"/>
      <c r="W39" s="331" t="s">
        <v>133</v>
      </c>
      <c r="X39" s="519">
        <f>SUM(X33:X38)</f>
        <v>0</v>
      </c>
    </row>
    <row r="40" spans="1:29" s="187" customFormat="1" ht="15" thickBot="1" x14ac:dyDescent="0.3">
      <c r="A40" s="185"/>
      <c r="B40" s="639" t="s">
        <v>168</v>
      </c>
      <c r="C40" s="640"/>
      <c r="D40" s="640"/>
      <c r="E40" s="640"/>
      <c r="F40" s="640"/>
      <c r="G40" s="640"/>
      <c r="H40" s="640"/>
      <c r="I40" s="640"/>
      <c r="J40" s="641"/>
      <c r="K40" s="185"/>
      <c r="L40" s="224"/>
      <c r="P40" s="224"/>
      <c r="S40" s="224"/>
      <c r="T40" s="234"/>
      <c r="U40" s="233"/>
      <c r="V40" s="224"/>
      <c r="W40" s="234"/>
      <c r="X40" s="233"/>
    </row>
    <row r="41" spans="1:29" s="187" customFormat="1" ht="29.25" thickBot="1" x14ac:dyDescent="0.3">
      <c r="A41" s="185"/>
      <c r="B41" s="610" t="s">
        <v>324</v>
      </c>
      <c r="C41" s="257" t="s">
        <v>105</v>
      </c>
      <c r="D41" s="258" t="s">
        <v>90</v>
      </c>
      <c r="E41" s="258" t="s">
        <v>307</v>
      </c>
      <c r="F41" s="258" t="s">
        <v>3</v>
      </c>
      <c r="G41" s="258" t="s">
        <v>0</v>
      </c>
      <c r="H41" s="258" t="s">
        <v>2</v>
      </c>
      <c r="I41" s="258" t="s">
        <v>1</v>
      </c>
      <c r="J41" s="259" t="s">
        <v>12</v>
      </c>
      <c r="K41" s="185"/>
      <c r="L41" s="214"/>
      <c r="M41" s="256"/>
      <c r="N41" s="247" t="s">
        <v>166</v>
      </c>
      <c r="O41" s="248">
        <f>O30+R30+U30+X30</f>
        <v>0</v>
      </c>
    </row>
    <row r="42" spans="1:29" s="187" customFormat="1" ht="14.25" x14ac:dyDescent="0.25">
      <c r="A42" s="185"/>
      <c r="B42" s="611"/>
      <c r="C42" s="261" t="str">
        <f>'Drop Downs and Assumptions'!$AB2</f>
        <v>80L</v>
      </c>
      <c r="D42" s="262" t="str">
        <f t="shared" ref="D42:I47" si="20">IF(SUMIF($AA$24:$AA$37,D$41&amp;$C42,$AB$24:$AB$37)=0,"",SUMIF($AA$24:$AA$37,D$41&amp;$C42,$AB$24:$AB$37))</f>
        <v/>
      </c>
      <c r="E42" s="262" t="str">
        <f t="shared" si="20"/>
        <v/>
      </c>
      <c r="F42" s="262" t="str">
        <f t="shared" si="20"/>
        <v/>
      </c>
      <c r="G42" s="262" t="str">
        <f t="shared" si="20"/>
        <v/>
      </c>
      <c r="H42" s="262" t="str">
        <f t="shared" si="20"/>
        <v/>
      </c>
      <c r="I42" s="262" t="str">
        <f t="shared" si="20"/>
        <v/>
      </c>
      <c r="J42" s="263" t="str">
        <f t="shared" ref="J42:J53" si="21">IF(SUMIF($Z$24:$Z$37,$C42,$AB$24:$AB$37)=0,"",SUMIF($Z$24:$Z$37,$C42,$AB$24:$AB$37))</f>
        <v/>
      </c>
      <c r="K42" s="185"/>
      <c r="N42" s="247" t="s">
        <v>167</v>
      </c>
      <c r="O42" s="248">
        <f>O39+R39+U39+X39</f>
        <v>0</v>
      </c>
    </row>
    <row r="43" spans="1:29" s="187" customFormat="1" ht="14.25" x14ac:dyDescent="0.25">
      <c r="A43" s="185"/>
      <c r="B43" s="611"/>
      <c r="C43" s="264" t="str">
        <f>'Drop Downs and Assumptions'!$AB3</f>
        <v>140L</v>
      </c>
      <c r="D43" s="265" t="str">
        <f t="shared" si="20"/>
        <v/>
      </c>
      <c r="E43" s="265" t="str">
        <f t="shared" si="20"/>
        <v/>
      </c>
      <c r="F43" s="265" t="str">
        <f t="shared" si="20"/>
        <v/>
      </c>
      <c r="G43" s="265" t="str">
        <f t="shared" si="20"/>
        <v/>
      </c>
      <c r="H43" s="265" t="str">
        <f t="shared" si="20"/>
        <v/>
      </c>
      <c r="I43" s="265" t="str">
        <f t="shared" si="20"/>
        <v/>
      </c>
      <c r="J43" s="266" t="str">
        <f t="shared" si="21"/>
        <v/>
      </c>
      <c r="K43" s="185"/>
      <c r="N43" s="513" t="s">
        <v>317</v>
      </c>
      <c r="O43" s="260">
        <f>O41+O42</f>
        <v>0</v>
      </c>
    </row>
    <row r="44" spans="1:29" s="187" customFormat="1" ht="14.25" x14ac:dyDescent="0.25">
      <c r="A44" s="185"/>
      <c r="B44" s="611"/>
      <c r="C44" s="264" t="str">
        <f>'Drop Downs and Assumptions'!$AB4</f>
        <v>240L</v>
      </c>
      <c r="D44" s="265" t="str">
        <f t="shared" si="20"/>
        <v/>
      </c>
      <c r="E44" s="265" t="str">
        <f t="shared" si="20"/>
        <v/>
      </c>
      <c r="F44" s="265" t="str">
        <f t="shared" si="20"/>
        <v/>
      </c>
      <c r="G44" s="265" t="str">
        <f t="shared" si="20"/>
        <v/>
      </c>
      <c r="H44" s="265" t="str">
        <f t="shared" si="20"/>
        <v/>
      </c>
      <c r="I44" s="265" t="str">
        <f t="shared" si="20"/>
        <v/>
      </c>
      <c r="J44" s="266" t="str">
        <f t="shared" si="21"/>
        <v/>
      </c>
      <c r="K44" s="185"/>
      <c r="N44" s="214" t="s">
        <v>380</v>
      </c>
      <c r="O44" s="499">
        <f>SUM(G28,G38)</f>
        <v>0</v>
      </c>
    </row>
    <row r="45" spans="1:29" s="187" customFormat="1" ht="14.25" x14ac:dyDescent="0.25">
      <c r="A45" s="185"/>
      <c r="B45" s="611"/>
      <c r="C45" s="264" t="str">
        <f>'Drop Downs and Assumptions'!$AB5</f>
        <v>360L</v>
      </c>
      <c r="D45" s="387" t="str">
        <f t="shared" si="20"/>
        <v/>
      </c>
      <c r="E45" s="265" t="str">
        <f t="shared" si="20"/>
        <v/>
      </c>
      <c r="F45" s="265" t="str">
        <f t="shared" si="20"/>
        <v/>
      </c>
      <c r="G45" s="265" t="str">
        <f t="shared" si="20"/>
        <v/>
      </c>
      <c r="H45" s="265" t="str">
        <f t="shared" si="20"/>
        <v/>
      </c>
      <c r="I45" s="265" t="str">
        <f t="shared" si="20"/>
        <v/>
      </c>
      <c r="J45" s="266" t="str">
        <f t="shared" si="21"/>
        <v/>
      </c>
      <c r="K45" s="185"/>
      <c r="N45" s="214" t="s">
        <v>381</v>
      </c>
      <c r="O45" s="187" t="b">
        <f>O43=O44</f>
        <v>1</v>
      </c>
    </row>
    <row r="46" spans="1:29" s="187" customFormat="1" ht="14.25" x14ac:dyDescent="0.25">
      <c r="A46" s="185"/>
      <c r="B46" s="611"/>
      <c r="C46" s="264" t="str">
        <f>'Drop Downs and Assumptions'!$AB6</f>
        <v>660L</v>
      </c>
      <c r="D46" s="265" t="str">
        <f t="shared" si="20"/>
        <v/>
      </c>
      <c r="E46" s="265" t="str">
        <f t="shared" si="20"/>
        <v/>
      </c>
      <c r="F46" s="265" t="str">
        <f t="shared" si="20"/>
        <v/>
      </c>
      <c r="G46" s="265" t="str">
        <f t="shared" si="20"/>
        <v/>
      </c>
      <c r="H46" s="265" t="str">
        <f t="shared" si="20"/>
        <v/>
      </c>
      <c r="I46" s="265" t="str">
        <f t="shared" si="20"/>
        <v/>
      </c>
      <c r="J46" s="266" t="str">
        <f t="shared" si="21"/>
        <v/>
      </c>
      <c r="K46" s="185"/>
    </row>
    <row r="47" spans="1:29" s="187" customFormat="1" ht="14.25" x14ac:dyDescent="0.25">
      <c r="A47" s="185"/>
      <c r="B47" s="611"/>
      <c r="C47" s="264" t="str">
        <f>'Drop Downs and Assumptions'!$AB7</f>
        <v>1100L</v>
      </c>
      <c r="D47" s="636" t="str">
        <f t="shared" si="20"/>
        <v/>
      </c>
      <c r="E47" s="265" t="str">
        <f t="shared" si="20"/>
        <v/>
      </c>
      <c r="F47" s="265" t="str">
        <f t="shared" si="20"/>
        <v/>
      </c>
      <c r="G47" s="265" t="str">
        <f t="shared" si="20"/>
        <v/>
      </c>
      <c r="H47" s="265" t="str">
        <f t="shared" si="20"/>
        <v/>
      </c>
      <c r="I47" s="265" t="str">
        <f t="shared" si="20"/>
        <v/>
      </c>
      <c r="J47" s="266" t="str">
        <f t="shared" si="21"/>
        <v/>
      </c>
      <c r="K47" s="185"/>
    </row>
    <row r="48" spans="1:29" s="187" customFormat="1" ht="14.25" x14ac:dyDescent="0.25">
      <c r="A48" s="185"/>
      <c r="B48" s="611"/>
      <c r="C48" s="264" t="str">
        <f>'Drop Downs and Assumptions'!$AB8</f>
        <v>1.5m3</v>
      </c>
      <c r="D48" s="637"/>
      <c r="E48" s="265" t="str">
        <f t="shared" ref="E48:I53" si="22">IF(SUMIF($AA$24:$AA$37,E$41&amp;$C48,$AB$24:$AB$37)=0,"",SUMIF($AA$24:$AA$37,E$41&amp;$C48,$AB$24:$AB$37))</f>
        <v/>
      </c>
      <c r="F48" s="265" t="str">
        <f t="shared" si="22"/>
        <v/>
      </c>
      <c r="G48" s="265" t="str">
        <f t="shared" si="22"/>
        <v/>
      </c>
      <c r="H48" s="265" t="str">
        <f t="shared" si="22"/>
        <v/>
      </c>
      <c r="I48" s="265" t="str">
        <f t="shared" si="22"/>
        <v/>
      </c>
      <c r="J48" s="266" t="str">
        <f t="shared" si="21"/>
        <v/>
      </c>
      <c r="K48" s="185"/>
    </row>
    <row r="49" spans="1:30" s="187" customFormat="1" ht="14.25" x14ac:dyDescent="0.25">
      <c r="A49" s="185"/>
      <c r="B49" s="611"/>
      <c r="C49" s="264" t="str">
        <f>'Drop Downs and Assumptions'!$AB9</f>
        <v>2m3</v>
      </c>
      <c r="D49" s="637"/>
      <c r="E49" s="265" t="str">
        <f t="shared" si="22"/>
        <v/>
      </c>
      <c r="F49" s="265" t="str">
        <f t="shared" si="22"/>
        <v/>
      </c>
      <c r="G49" s="265" t="str">
        <f t="shared" si="22"/>
        <v/>
      </c>
      <c r="H49" s="265" t="str">
        <f t="shared" si="22"/>
        <v/>
      </c>
      <c r="I49" s="265" t="str">
        <f t="shared" si="22"/>
        <v/>
      </c>
      <c r="J49" s="266" t="str">
        <f t="shared" si="21"/>
        <v/>
      </c>
      <c r="K49" s="185"/>
    </row>
    <row r="50" spans="1:30" s="187" customFormat="1" ht="14.25" x14ac:dyDescent="0.25">
      <c r="A50" s="185"/>
      <c r="B50" s="611"/>
      <c r="C50" s="264" t="str">
        <f>'Drop Downs and Assumptions'!$AB10</f>
        <v>3m3</v>
      </c>
      <c r="D50" s="637"/>
      <c r="E50" s="265" t="str">
        <f t="shared" si="22"/>
        <v/>
      </c>
      <c r="F50" s="265" t="str">
        <f t="shared" si="22"/>
        <v/>
      </c>
      <c r="G50" s="265" t="str">
        <f t="shared" si="22"/>
        <v/>
      </c>
      <c r="H50" s="265" t="str">
        <f t="shared" si="22"/>
        <v/>
      </c>
      <c r="I50" s="265" t="str">
        <f t="shared" si="22"/>
        <v/>
      </c>
      <c r="J50" s="266" t="str">
        <f t="shared" si="21"/>
        <v/>
      </c>
      <c r="K50" s="185"/>
    </row>
    <row r="51" spans="1:30" s="187" customFormat="1" ht="14.25" x14ac:dyDescent="0.25">
      <c r="A51" s="185"/>
      <c r="B51" s="611"/>
      <c r="C51" s="264" t="str">
        <f>'Drop Downs and Assumptions'!$AB11</f>
        <v>3.5m3</v>
      </c>
      <c r="D51" s="637"/>
      <c r="E51" s="265" t="str">
        <f t="shared" si="22"/>
        <v/>
      </c>
      <c r="F51" s="265" t="str">
        <f t="shared" si="22"/>
        <v/>
      </c>
      <c r="G51" s="265" t="str">
        <f t="shared" si="22"/>
        <v/>
      </c>
      <c r="H51" s="265" t="str">
        <f t="shared" si="22"/>
        <v/>
      </c>
      <c r="I51" s="265" t="str">
        <f t="shared" si="22"/>
        <v/>
      </c>
      <c r="J51" s="266" t="str">
        <f t="shared" si="21"/>
        <v/>
      </c>
      <c r="K51" s="185"/>
    </row>
    <row r="52" spans="1:30" s="187" customFormat="1" ht="14.25" x14ac:dyDescent="0.25">
      <c r="A52" s="185"/>
      <c r="B52" s="611"/>
      <c r="C52" s="264" t="str">
        <f>'Drop Downs and Assumptions'!$AB12</f>
        <v>4m3</v>
      </c>
      <c r="D52" s="637"/>
      <c r="E52" s="265" t="str">
        <f t="shared" si="22"/>
        <v/>
      </c>
      <c r="F52" s="265" t="str">
        <f t="shared" si="22"/>
        <v/>
      </c>
      <c r="G52" s="265" t="str">
        <f t="shared" si="22"/>
        <v/>
      </c>
      <c r="H52" s="265" t="str">
        <f t="shared" si="22"/>
        <v/>
      </c>
      <c r="I52" s="265" t="str">
        <f t="shared" si="22"/>
        <v/>
      </c>
      <c r="J52" s="266" t="str">
        <f t="shared" si="21"/>
        <v/>
      </c>
      <c r="K52" s="185"/>
    </row>
    <row r="53" spans="1:30" s="187" customFormat="1" ht="15" thickBot="1" x14ac:dyDescent="0.3">
      <c r="A53" s="185"/>
      <c r="B53" s="611"/>
      <c r="C53" s="264" t="str">
        <f>'Drop Downs and Assumptions'!$AB13</f>
        <v>4.5m3</v>
      </c>
      <c r="D53" s="638"/>
      <c r="E53" s="265" t="str">
        <f t="shared" si="22"/>
        <v/>
      </c>
      <c r="F53" s="265" t="str">
        <f t="shared" si="22"/>
        <v/>
      </c>
      <c r="G53" s="265" t="str">
        <f t="shared" si="22"/>
        <v/>
      </c>
      <c r="H53" s="265" t="str">
        <f t="shared" si="22"/>
        <v/>
      </c>
      <c r="I53" s="265" t="str">
        <f t="shared" si="22"/>
        <v/>
      </c>
      <c r="J53" s="266" t="str">
        <f t="shared" si="21"/>
        <v/>
      </c>
      <c r="K53" s="185"/>
    </row>
    <row r="54" spans="1:30" s="187" customFormat="1" x14ac:dyDescent="0.3">
      <c r="A54" s="185"/>
      <c r="B54" s="267"/>
      <c r="C54" s="267"/>
      <c r="D54" s="267"/>
      <c r="E54" s="267"/>
      <c r="F54" s="267"/>
      <c r="G54" s="267"/>
      <c r="H54" s="267"/>
      <c r="I54" s="267"/>
      <c r="J54" s="267"/>
      <c r="K54" s="185"/>
      <c r="L54" s="214"/>
      <c r="Z54" s="219"/>
      <c r="AA54" s="219"/>
      <c r="AB54" s="219"/>
    </row>
    <row r="55" spans="1:30" s="187" customFormat="1" hidden="1" x14ac:dyDescent="0.3">
      <c r="A55" s="185"/>
      <c r="B55" s="364" t="str">
        <f>'Step 1 &amp; Step 2 Event Details'!D10</f>
        <v>Event type</v>
      </c>
      <c r="C55" s="363">
        <f>'Step 1 &amp; Step 2 Event Details'!E10</f>
        <v>0</v>
      </c>
      <c r="E55" s="366"/>
      <c r="F55" s="228" t="s">
        <v>374</v>
      </c>
      <c r="J55" s="219"/>
      <c r="K55" s="219"/>
      <c r="L55" s="185"/>
      <c r="M55" s="214"/>
      <c r="AA55" s="219"/>
      <c r="AB55" s="219"/>
      <c r="AC55" s="219"/>
      <c r="AD55" s="219"/>
    </row>
    <row r="56" spans="1:30" s="187" customFormat="1" hidden="1" x14ac:dyDescent="0.3">
      <c r="A56" s="185"/>
      <c r="B56" s="234"/>
      <c r="C56" s="365"/>
      <c r="E56" s="369" t="str">
        <f>'Drop Downs and Assumptions'!N2</f>
        <v>Music Festival</v>
      </c>
      <c r="F56" s="372">
        <f>F61</f>
        <v>5</v>
      </c>
      <c r="J56" s="219"/>
      <c r="K56" s="219"/>
      <c r="L56" s="185"/>
      <c r="M56" s="214"/>
      <c r="AA56" s="219"/>
      <c r="AB56" s="219"/>
      <c r="AC56" s="219"/>
      <c r="AD56" s="219"/>
    </row>
    <row r="57" spans="1:30" s="187" customFormat="1" hidden="1" x14ac:dyDescent="0.3">
      <c r="A57" s="185"/>
      <c r="E57" s="369" t="str">
        <f>'Drop Downs and Assumptions'!N3</f>
        <v>Community Event</v>
      </c>
      <c r="F57" s="372">
        <f>G61</f>
        <v>6</v>
      </c>
      <c r="J57" s="219"/>
      <c r="K57" s="219"/>
      <c r="L57" s="185"/>
      <c r="M57" s="214"/>
      <c r="AA57" s="219"/>
      <c r="AB57" s="219"/>
      <c r="AC57" s="219"/>
      <c r="AD57" s="219"/>
    </row>
    <row r="58" spans="1:30" s="187" customFormat="1" hidden="1" x14ac:dyDescent="0.3">
      <c r="E58" s="369" t="str">
        <f>'Drop Downs and Assumptions'!N4</f>
        <v>Food Event</v>
      </c>
      <c r="F58" s="372">
        <f>H61</f>
        <v>7</v>
      </c>
      <c r="J58" s="219"/>
      <c r="K58" s="219"/>
      <c r="L58" s="185"/>
      <c r="M58" s="214"/>
      <c r="AA58" s="219"/>
      <c r="AB58" s="219"/>
      <c r="AC58" s="219"/>
      <c r="AD58" s="219"/>
    </row>
    <row r="59" spans="1:30" s="187" customFormat="1" hidden="1" x14ac:dyDescent="0.3">
      <c r="A59" s="272"/>
      <c r="B59" s="272"/>
      <c r="C59" s="272"/>
      <c r="D59" s="272"/>
      <c r="E59" s="272"/>
      <c r="I59" s="219"/>
      <c r="J59" s="219"/>
      <c r="K59" s="219"/>
      <c r="L59" s="185"/>
      <c r="M59" s="214"/>
      <c r="AA59" s="219"/>
      <c r="AB59" s="219"/>
      <c r="AC59" s="219"/>
      <c r="AD59" s="219"/>
    </row>
    <row r="60" spans="1:30" s="187" customFormat="1" hidden="1" x14ac:dyDescent="0.3">
      <c r="A60" s="185"/>
      <c r="B60" s="390" t="s">
        <v>349</v>
      </c>
      <c r="C60" s="391"/>
      <c r="D60" s="391"/>
      <c r="E60" s="391"/>
      <c r="F60" s="391"/>
      <c r="G60" s="391"/>
      <c r="H60" s="391"/>
      <c r="I60" s="391"/>
      <c r="J60" s="219"/>
      <c r="K60" s="185"/>
      <c r="L60" s="214"/>
      <c r="Z60" s="219"/>
      <c r="AA60" s="219"/>
      <c r="AB60" s="219"/>
      <c r="AC60" s="219"/>
    </row>
    <row r="61" spans="1:30" s="187" customFormat="1" hidden="1" x14ac:dyDescent="0.3">
      <c r="A61" s="185"/>
      <c r="B61" s="378">
        <v>1</v>
      </c>
      <c r="C61" s="378">
        <v>2</v>
      </c>
      <c r="D61" s="378">
        <v>3</v>
      </c>
      <c r="E61" s="379">
        <v>4</v>
      </c>
      <c r="F61" s="378">
        <v>5</v>
      </c>
      <c r="G61" s="379">
        <v>6</v>
      </c>
      <c r="H61" s="378">
        <v>7</v>
      </c>
      <c r="I61" s="379">
        <v>8</v>
      </c>
      <c r="J61" s="219"/>
      <c r="L61" s="185"/>
      <c r="M61" s="214"/>
      <c r="AA61" s="219"/>
      <c r="AB61" s="219"/>
      <c r="AC61" s="219"/>
      <c r="AD61" s="219"/>
    </row>
    <row r="62" spans="1:30" hidden="1" x14ac:dyDescent="0.3">
      <c r="B62" s="624" t="s">
        <v>341</v>
      </c>
      <c r="C62" s="370" t="s">
        <v>333</v>
      </c>
      <c r="D62" s="367" t="s">
        <v>8</v>
      </c>
      <c r="E62" s="367" t="s">
        <v>10</v>
      </c>
      <c r="F62" s="367" t="s">
        <v>10</v>
      </c>
      <c r="G62" s="367" t="s">
        <v>10</v>
      </c>
      <c r="H62" s="367" t="s">
        <v>10</v>
      </c>
      <c r="I62" s="367" t="s">
        <v>8</v>
      </c>
      <c r="K62" s="219"/>
      <c r="L62" s="187"/>
      <c r="M62" s="187"/>
    </row>
    <row r="63" spans="1:30" hidden="1" x14ac:dyDescent="0.3">
      <c r="B63" s="625"/>
      <c r="C63" s="373" t="s">
        <v>334</v>
      </c>
      <c r="D63" s="228" t="s">
        <v>8</v>
      </c>
      <c r="E63" s="367" t="s">
        <v>8</v>
      </c>
      <c r="F63" s="367" t="s">
        <v>10</v>
      </c>
      <c r="G63" s="367" t="s">
        <v>10</v>
      </c>
      <c r="H63" s="367" t="s">
        <v>10</v>
      </c>
      <c r="I63" s="367" t="s">
        <v>10</v>
      </c>
      <c r="K63" s="219"/>
      <c r="L63" s="235"/>
      <c r="M63" s="236"/>
    </row>
    <row r="64" spans="1:30" ht="49.5" hidden="1" x14ac:dyDescent="0.3">
      <c r="B64" s="367"/>
      <c r="C64" s="368" t="s">
        <v>340</v>
      </c>
      <c r="D64" s="368" t="s">
        <v>342</v>
      </c>
      <c r="E64" s="368" t="s">
        <v>343</v>
      </c>
      <c r="F64" s="349" t="str">
        <f>"Required and provided and a "&amp;E56</f>
        <v>Required and provided and a Music Festival</v>
      </c>
      <c r="G64" s="349" t="str">
        <f>"Required and provided and a "&amp;E57</f>
        <v>Required and provided and a Community Event</v>
      </c>
      <c r="H64" s="349" t="str">
        <f>"Required and provided and a "&amp;E58</f>
        <v>Required and provided and a Food Event</v>
      </c>
      <c r="I64" s="368" t="s">
        <v>347</v>
      </c>
      <c r="K64" s="219"/>
      <c r="L64" s="187"/>
      <c r="M64" s="187"/>
    </row>
    <row r="65" spans="2:14" ht="100.5" hidden="1" x14ac:dyDescent="0.3">
      <c r="B65" s="371" t="s">
        <v>90</v>
      </c>
      <c r="C65" s="228">
        <f>'Step 1 &amp; Step 2 Event Details'!E12</f>
        <v>0</v>
      </c>
      <c r="D65" s="374" t="s">
        <v>335</v>
      </c>
      <c r="E65" s="375" t="s">
        <v>336</v>
      </c>
      <c r="F65" s="375" t="s">
        <v>330</v>
      </c>
      <c r="G65" s="375" t="s">
        <v>327</v>
      </c>
      <c r="H65" s="375" t="s">
        <v>327</v>
      </c>
      <c r="I65" s="376" t="s">
        <v>337</v>
      </c>
      <c r="K65" s="219"/>
      <c r="L65" s="187"/>
      <c r="M65" s="187"/>
    </row>
    <row r="66" spans="2:14" ht="100.5" hidden="1" x14ac:dyDescent="0.3">
      <c r="B66" s="371" t="s">
        <v>307</v>
      </c>
      <c r="C66" s="228">
        <f>'Step 1 &amp; Step 2 Event Details'!E14</f>
        <v>0</v>
      </c>
      <c r="D66" s="374" t="s">
        <v>338</v>
      </c>
      <c r="E66" s="375" t="s">
        <v>326</v>
      </c>
      <c r="F66" s="375" t="s">
        <v>328</v>
      </c>
      <c r="G66" s="375" t="s">
        <v>329</v>
      </c>
      <c r="H66" s="375" t="s">
        <v>329</v>
      </c>
      <c r="I66" s="376" t="s">
        <v>339</v>
      </c>
      <c r="K66" s="219"/>
      <c r="L66" s="187"/>
      <c r="M66" s="187"/>
      <c r="N66" s="187"/>
    </row>
    <row r="67" spans="2:14" hidden="1" x14ac:dyDescent="0.3">
      <c r="K67" s="219"/>
      <c r="L67" s="235"/>
      <c r="M67" s="236"/>
    </row>
    <row r="68" spans="2:14" hidden="1" x14ac:dyDescent="0.3">
      <c r="B68" s="380" t="s">
        <v>25</v>
      </c>
      <c r="C68" s="382" t="s">
        <v>348</v>
      </c>
      <c r="D68" s="383"/>
      <c r="E68" s="383"/>
      <c r="F68" s="384"/>
      <c r="K68" s="219"/>
      <c r="L68" s="235"/>
      <c r="M68" s="236"/>
    </row>
    <row r="69" spans="2:14" hidden="1" x14ac:dyDescent="0.3">
      <c r="B69" s="361" t="str">
        <f>B33</f>
        <v>Organics/food waste</v>
      </c>
      <c r="C69" s="394" t="str">
        <f>IF(AND(VLOOKUP($B24,$B$65:$C$66,2,FALSE)="Yes",D24="Yes"),VLOOKUP($B24,$B$65:$H$66,VLOOKUP($C$55,$E$56:$F$58,2,FALSE),FALSE),IF(AND(VLOOKUP($B24,$B$65:$C$66,2,FALSE)="No",$D24="No"),VLOOKUP($B24,$B$65:$D$66,3,FALSE),IF(AND(VLOOKUP($B24,$B$65:$C$66,2,FALSE)="Yes",$D24="No"),VLOOKUP($B24,$B$65:$E$66,4,FALSE),IF(AND(VLOOKUP($B24,$B$65:$C$66,2,FALSE)="No",$D24="Yes"),VLOOKUP($B24,$B$65:$I$66,8,FALSE),""))))</f>
        <v/>
      </c>
      <c r="D69" s="393"/>
      <c r="E69" s="383"/>
      <c r="F69" s="384"/>
    </row>
    <row r="70" spans="2:14" hidden="1" x14ac:dyDescent="0.3">
      <c r="B70" s="361" t="str">
        <f>B34</f>
        <v>10c drinks containers</v>
      </c>
      <c r="C70" s="385" t="str">
        <f>IF(AND(VLOOKUP($B25,$B$65:$C$66,2,FALSE)="Yes",D25="Yes"),VLOOKUP($B25,$B$65:$H$66,VLOOKUP($C$55,$E$56:$F$58,2,FALSE),FALSE),IF(AND(VLOOKUP($B25,$B$65:$C$66,2,FALSE)="No",$D25="No"),VLOOKUP($B25,$B$65:$D$66,3,FALSE),IF(AND(VLOOKUP($B25,$B$65:$C$66,2,FALSE)="Yes",$D25="No"),VLOOKUP($B25,$B$65:$E$66,4,FALSE),IF(AND(VLOOKUP($B25,$B$65:$C$66,2,FALSE)="No",$D25="Yes"),VLOOKUP($B25,$B$65:$I$66,8,FALSE),""))))</f>
        <v/>
      </c>
      <c r="D70" s="386"/>
      <c r="E70" s="362"/>
      <c r="F70" s="381"/>
    </row>
    <row r="71" spans="2:14" hidden="1" x14ac:dyDescent="0.3">
      <c r="C71" s="622"/>
      <c r="D71" s="623"/>
    </row>
    <row r="72" spans="2:14" hidden="1" x14ac:dyDescent="0.3">
      <c r="B72" s="272"/>
      <c r="E72" s="272"/>
      <c r="F72" s="187"/>
      <c r="G72" s="187"/>
      <c r="H72" s="187"/>
    </row>
    <row r="73" spans="2:14" hidden="1" x14ac:dyDescent="0.3">
      <c r="B73" s="388" t="s">
        <v>350</v>
      </c>
      <c r="C73" s="389"/>
      <c r="D73" s="389"/>
      <c r="E73" s="389"/>
      <c r="F73" s="389"/>
      <c r="G73" s="389"/>
      <c r="H73" s="389"/>
      <c r="I73" s="389"/>
    </row>
    <row r="74" spans="2:14" hidden="1" x14ac:dyDescent="0.3">
      <c r="B74" s="378">
        <v>1</v>
      </c>
      <c r="C74" s="378">
        <v>2</v>
      </c>
      <c r="D74" s="378">
        <v>3</v>
      </c>
      <c r="E74" s="379">
        <v>4</v>
      </c>
      <c r="F74" s="378">
        <v>5</v>
      </c>
      <c r="G74" s="379">
        <v>6</v>
      </c>
      <c r="H74" s="378">
        <v>7</v>
      </c>
      <c r="I74" s="379">
        <v>8</v>
      </c>
    </row>
    <row r="75" spans="2:14" hidden="1" x14ac:dyDescent="0.3">
      <c r="B75" s="624" t="s">
        <v>341</v>
      </c>
      <c r="C75" s="370" t="s">
        <v>333</v>
      </c>
      <c r="D75" s="367" t="s">
        <v>8</v>
      </c>
      <c r="E75" s="367" t="s">
        <v>10</v>
      </c>
      <c r="F75" s="367" t="s">
        <v>10</v>
      </c>
      <c r="G75" s="367" t="s">
        <v>10</v>
      </c>
      <c r="H75" s="367" t="s">
        <v>10</v>
      </c>
      <c r="I75" s="367" t="s">
        <v>8</v>
      </c>
    </row>
    <row r="76" spans="2:14" hidden="1" x14ac:dyDescent="0.3">
      <c r="B76" s="625"/>
      <c r="C76" s="373" t="s">
        <v>334</v>
      </c>
      <c r="D76" s="228" t="s">
        <v>8</v>
      </c>
      <c r="E76" s="367" t="s">
        <v>8</v>
      </c>
      <c r="F76" s="367" t="s">
        <v>10</v>
      </c>
      <c r="G76" s="367" t="s">
        <v>10</v>
      </c>
      <c r="H76" s="367" t="s">
        <v>10</v>
      </c>
      <c r="I76" s="367" t="s">
        <v>10</v>
      </c>
    </row>
    <row r="77" spans="2:14" ht="49.5" hidden="1" x14ac:dyDescent="0.3">
      <c r="B77" s="367"/>
      <c r="C77" s="368" t="s">
        <v>340</v>
      </c>
      <c r="D77" s="368" t="s">
        <v>342</v>
      </c>
      <c r="E77" s="368" t="s">
        <v>343</v>
      </c>
      <c r="F77" s="349" t="s">
        <v>344</v>
      </c>
      <c r="G77" s="349" t="s">
        <v>345</v>
      </c>
      <c r="H77" s="349" t="s">
        <v>346</v>
      </c>
      <c r="I77" s="377" t="s">
        <v>347</v>
      </c>
    </row>
    <row r="78" spans="2:14" ht="82.5" hidden="1" x14ac:dyDescent="0.3">
      <c r="B78" s="371" t="s">
        <v>90</v>
      </c>
      <c r="C78" s="228">
        <f>C65</f>
        <v>0</v>
      </c>
      <c r="D78" s="374" t="str">
        <f>""</f>
        <v/>
      </c>
      <c r="E78" s="375" t="s">
        <v>336</v>
      </c>
      <c r="F78" s="375" t="s">
        <v>330</v>
      </c>
      <c r="G78" s="375" t="s">
        <v>327</v>
      </c>
      <c r="H78" s="375" t="s">
        <v>327</v>
      </c>
      <c r="I78" s="376" t="s">
        <v>337</v>
      </c>
    </row>
    <row r="79" spans="2:14" ht="82.5" hidden="1" x14ac:dyDescent="0.3">
      <c r="B79" s="371" t="s">
        <v>307</v>
      </c>
      <c r="C79" s="228">
        <f>C66</f>
        <v>0</v>
      </c>
      <c r="D79" s="374" t="str">
        <f>""</f>
        <v/>
      </c>
      <c r="E79" s="375" t="s">
        <v>326</v>
      </c>
      <c r="F79" s="375" t="s">
        <v>328</v>
      </c>
      <c r="G79" s="375" t="s">
        <v>329</v>
      </c>
      <c r="H79" s="375" t="s">
        <v>329</v>
      </c>
      <c r="I79" s="376" t="s">
        <v>339</v>
      </c>
    </row>
    <row r="80" spans="2:14" hidden="1" x14ac:dyDescent="0.3"/>
    <row r="81" spans="2:6" hidden="1" x14ac:dyDescent="0.3">
      <c r="B81" s="380" t="s">
        <v>25</v>
      </c>
      <c r="C81" s="382" t="s">
        <v>348</v>
      </c>
      <c r="D81" s="383"/>
      <c r="E81" s="383"/>
      <c r="F81" s="384"/>
    </row>
    <row r="82" spans="2:6" hidden="1" x14ac:dyDescent="0.3">
      <c r="B82" s="361" t="str">
        <f>B69</f>
        <v>Organics/food waste</v>
      </c>
      <c r="C82" s="395" t="str">
        <f>IF(AND(VLOOKUP($B33,$B$78:$C$79,2,FALSE)="Yes",D33="Yes"),VLOOKUP($B33,$B$78:$H$79,VLOOKUP($C$55,$E$56:$F$58,2,FALSE),FALSE),IF(AND(VLOOKUP($B33,$B$78:$C$79,2,FALSE)="No",$D33="No"),VLOOKUP($B33,$B$78:$D$79,3,FALSE),IF(AND(VLOOKUP($B33,$B$78:$C$79,2,FALSE)="Yes",$D33="No"),VLOOKUP($B33,$B$78:$E$79,4,FALSE),IF(AND(VLOOKUP($B33,$B$78:$C$79,2,FALSE)="No",$D33="Yes"),VLOOKUP($B33,$B$78:$I$79,8,FALSE),""))))</f>
        <v/>
      </c>
      <c r="D82" s="393"/>
      <c r="E82" s="383"/>
      <c r="F82" s="384"/>
    </row>
    <row r="83" spans="2:6" hidden="1" x14ac:dyDescent="0.3">
      <c r="B83" s="361" t="str">
        <f>B70</f>
        <v>10c drinks containers</v>
      </c>
      <c r="C83" s="385" t="str">
        <f>IF(AND(VLOOKUP($B34,$B$78:$C$79,2,FALSE)="Yes",D34="Yes"),VLOOKUP($B34,$B$78:$H$79,VLOOKUP($C$55,$E$56:$F$58,2,FALSE),FALSE),IF(AND(VLOOKUP($B34,$B$78:$C$79,2,FALSE)="No",$D34="No"),VLOOKUP($B34,$B$78:$D$79,3,FALSE),IF(AND(VLOOKUP($B34,$B$78:$C$79,2,FALSE)="Yes",$D34="No"),VLOOKUP($B34,$B$78:$E$79,4,FALSE),IF(AND(VLOOKUP($B34,$B$78:$C$79,2,FALSE)="No",$D34="Yes"),VLOOKUP($B34,$B$78:$I$79,8,FALSE),""))))</f>
        <v/>
      </c>
      <c r="D83" s="393"/>
      <c r="E83" s="362"/>
      <c r="F83" s="381"/>
    </row>
    <row r="84" spans="2:6" hidden="1" x14ac:dyDescent="0.3">
      <c r="C84" s="622"/>
      <c r="D84" s="623"/>
    </row>
  </sheetData>
  <sheetProtection algorithmName="SHA-512" hashValue="1qKIi+03Ax+D3soHFRLc1NqqnVSly29RrdSMMOJf1RJQTgaRDUU+VqTFUAL0eRi2zwkb5TmUSenU268+lEaj2Q==" saltValue="Xc3nt9qRk2xiXlxHTRkn/A==" spinCount="100000" sheet="1" formatColumns="0" formatRows="0" selectLockedCells="1"/>
  <mergeCells count="22">
    <mergeCell ref="N10:N11"/>
    <mergeCell ref="M10:M11"/>
    <mergeCell ref="C84:D84"/>
    <mergeCell ref="B75:B76"/>
    <mergeCell ref="B3:J16"/>
    <mergeCell ref="B62:B63"/>
    <mergeCell ref="C71:D71"/>
    <mergeCell ref="I31:J32"/>
    <mergeCell ref="D47:D53"/>
    <mergeCell ref="B40:J40"/>
    <mergeCell ref="B22:F22"/>
    <mergeCell ref="G22:H22"/>
    <mergeCell ref="D28:F28"/>
    <mergeCell ref="D38:F38"/>
    <mergeCell ref="B31:F31"/>
    <mergeCell ref="G31:H31"/>
    <mergeCell ref="B28:C28"/>
    <mergeCell ref="I24:J27"/>
    <mergeCell ref="I22:J23"/>
    <mergeCell ref="B38:C38"/>
    <mergeCell ref="B41:B53"/>
    <mergeCell ref="I33:J37"/>
  </mergeCells>
  <conditionalFormatting sqref="E24:H27 E33:H37">
    <cfRule type="expression" dxfId="5" priority="4">
      <formula>$D24="No"</formula>
    </cfRule>
    <cfRule type="expression" dxfId="4" priority="5">
      <formula>$D24=""</formula>
    </cfRule>
  </conditionalFormatting>
  <conditionalFormatting sqref="D24:H27">
    <cfRule type="expression" dxfId="3" priority="3">
      <formula>$F$18=0</formula>
    </cfRule>
  </conditionalFormatting>
  <conditionalFormatting sqref="D33:H37">
    <cfRule type="expression" dxfId="2" priority="2">
      <formula>$F$19=0</formula>
    </cfRule>
  </conditionalFormatting>
  <conditionalFormatting sqref="F24:F27 F33:F37">
    <cfRule type="cellIs" dxfId="1" priority="6" operator="equal">
      <formula>0</formula>
    </cfRule>
  </conditionalFormatting>
  <conditionalFormatting sqref="G33:H37">
    <cfRule type="expression" dxfId="0" priority="1">
      <formula>$F$18=0</formula>
    </cfRule>
  </conditionalFormatting>
  <dataValidations count="4">
    <dataValidation type="decimal" allowBlank="1" showErrorMessage="1" errorTitle="Insert number percentage only" sqref="F18">
      <formula1>0</formula1>
      <formula2>1</formula2>
    </dataValidation>
    <dataValidation type="whole" allowBlank="1" showInputMessage="1" showErrorMessage="1" sqref="F19">
      <formula1>0</formula1>
      <formula2>100</formula2>
    </dataValidation>
    <dataValidation type="whole" operator="greaterThanOrEqual" allowBlank="1" showInputMessage="1" showErrorMessage="1" error="Bins must be collected or emptied at least once for the event_x000a_" sqref="F33:F37">
      <formula1>1</formula1>
    </dataValidation>
    <dataValidation type="whole" operator="greaterThanOrEqual" allowBlank="1" showInputMessage="1" showErrorMessage="1" error="Bins need to be collected or emptied at least once per each day event held for_x000a_" sqref="F24:F27">
      <formula1>N18</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'Drop Downs and Assumptions'!$AL$2:$AL$3</xm:f>
          </x14:formula1>
          <xm:sqref>D24:D26 D33:D36</xm:sqref>
        </x14:dataValidation>
        <x14:dataValidation type="list" allowBlank="1" showInputMessage="1" showErrorMessage="1">
          <x14:formula1>
            <xm:f>'Drop Downs and Assumptions'!$AB$2:$AB$13</xm:f>
          </x14:formula1>
          <xm:sqref>E34:E37</xm:sqref>
        </x14:dataValidation>
        <x14:dataValidation type="list" allowBlank="1" showInputMessage="1" showErrorMessage="1">
          <x14:formula1>
            <xm:f>'Drop Downs and Assumptions'!$AG$2:$AG$5</xm:f>
          </x14:formula1>
          <xm:sqref>E33</xm:sqref>
        </x14:dataValidation>
        <x14:dataValidation type="list" allowBlank="1" showInputMessage="1" showErrorMessage="1">
          <x14:formula1>
            <xm:f>'Drop Downs and Assumptions'!$AB$2:$AB$4</xm:f>
          </x14:formula1>
          <xm:sqref>E24:E27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AE183"/>
  <sheetViews>
    <sheetView workbookViewId="0">
      <selection activeCell="B32" sqref="B32"/>
    </sheetView>
  </sheetViews>
  <sheetFormatPr defaultColWidth="0" defaultRowHeight="0" customHeight="1" zeroHeight="1" x14ac:dyDescent="0.25"/>
  <cols>
    <col min="1" max="1" width="1.140625" style="185" customWidth="1"/>
    <col min="2" max="2" width="26.42578125" style="185" customWidth="1"/>
    <col min="3" max="3" width="25.140625" style="185" customWidth="1"/>
    <col min="4" max="9" width="18.140625" style="185" customWidth="1"/>
    <col min="10" max="10" width="1.85546875" style="185" customWidth="1"/>
    <col min="11" max="11" width="8.28515625" style="185" hidden="1" customWidth="1"/>
    <col min="12" max="12" width="9" style="185" hidden="1" customWidth="1"/>
    <col min="13" max="13" width="8.5703125" style="185" hidden="1" customWidth="1"/>
    <col min="14" max="14" width="17.85546875" style="185" hidden="1" customWidth="1"/>
    <col min="15" max="15" width="14.5703125" style="185" hidden="1" customWidth="1"/>
    <col min="16" max="16" width="23.28515625" style="185" hidden="1" customWidth="1"/>
    <col min="17" max="17" width="7.42578125" style="185" hidden="1" customWidth="1"/>
    <col min="18" max="19" width="5.7109375" style="185" hidden="1" customWidth="1"/>
    <col min="20" max="20" width="5" style="185" hidden="1" customWidth="1"/>
    <col min="21" max="21" width="21.140625" style="185" hidden="1" customWidth="1"/>
    <col min="22" max="22" width="12.85546875" style="185" hidden="1" customWidth="1"/>
    <col min="23" max="24" width="37.85546875" style="185" hidden="1" customWidth="1"/>
    <col min="25" max="26" width="5.7109375" style="185" hidden="1" customWidth="1"/>
    <col min="27" max="27" width="5" style="185" hidden="1" customWidth="1"/>
    <col min="28" max="28" width="21.140625" style="185" hidden="1" customWidth="1"/>
    <col min="29" max="29" width="12.85546875" style="185" hidden="1" customWidth="1"/>
    <col min="30" max="31" width="37.85546875" style="185" hidden="1" customWidth="1"/>
    <col min="32" max="16384" width="9" style="185" hidden="1"/>
  </cols>
  <sheetData>
    <row r="1" spans="1:16" s="187" customFormat="1" ht="23.25" customHeight="1" thickBot="1" x14ac:dyDescent="0.3">
      <c r="A1" s="185"/>
      <c r="B1" s="345" t="s">
        <v>370</v>
      </c>
      <c r="C1" s="318"/>
      <c r="D1" s="318"/>
      <c r="E1" s="318"/>
      <c r="F1" s="318"/>
      <c r="G1" s="318"/>
      <c r="H1" s="318"/>
      <c r="I1" s="318"/>
      <c r="J1" s="186"/>
    </row>
    <row r="2" spans="1:16" s="184" customFormat="1" ht="7.5" thickBot="1" x14ac:dyDescent="0.2">
      <c r="A2" s="182"/>
      <c r="B2" s="183"/>
      <c r="C2" s="183"/>
      <c r="D2" s="183"/>
      <c r="E2" s="183"/>
      <c r="F2" s="183"/>
      <c r="G2" s="183"/>
      <c r="H2" s="183"/>
      <c r="I2" s="183"/>
      <c r="J2" s="188"/>
    </row>
    <row r="3" spans="1:16" s="184" customFormat="1" ht="17.25" thickBot="1" x14ac:dyDescent="0.35">
      <c r="A3" s="182"/>
      <c r="B3" s="427" t="s">
        <v>154</v>
      </c>
      <c r="C3" s="521"/>
      <c r="D3" s="521"/>
      <c r="E3" s="521"/>
      <c r="F3" s="521"/>
      <c r="G3" s="521"/>
      <c r="H3" s="521"/>
      <c r="I3" s="522"/>
      <c r="J3" s="188"/>
    </row>
    <row r="4" spans="1:16" s="187" customFormat="1" ht="14.25" x14ac:dyDescent="0.25">
      <c r="A4" s="185"/>
      <c r="B4" s="556" t="s">
        <v>375</v>
      </c>
      <c r="C4" s="557"/>
      <c r="D4" s="557"/>
      <c r="E4" s="557"/>
      <c r="F4" s="557"/>
      <c r="G4" s="557"/>
      <c r="H4" s="557"/>
      <c r="I4" s="558"/>
      <c r="J4" s="452"/>
    </row>
    <row r="5" spans="1:16" s="184" customFormat="1" ht="14.25" customHeight="1" x14ac:dyDescent="0.15">
      <c r="A5" s="182"/>
      <c r="B5" s="556"/>
      <c r="C5" s="557"/>
      <c r="D5" s="557"/>
      <c r="E5" s="557"/>
      <c r="F5" s="557"/>
      <c r="G5" s="557"/>
      <c r="H5" s="557"/>
      <c r="I5" s="558"/>
      <c r="J5" s="188"/>
    </row>
    <row r="6" spans="1:16" s="184" customFormat="1" ht="14.25" customHeight="1" x14ac:dyDescent="0.15">
      <c r="A6" s="182"/>
      <c r="B6" s="556"/>
      <c r="C6" s="557"/>
      <c r="D6" s="557"/>
      <c r="E6" s="557"/>
      <c r="F6" s="557"/>
      <c r="G6" s="557"/>
      <c r="H6" s="557"/>
      <c r="I6" s="558"/>
      <c r="J6" s="188"/>
    </row>
    <row r="7" spans="1:16" s="184" customFormat="1" ht="14.25" customHeight="1" x14ac:dyDescent="0.15">
      <c r="A7" s="182"/>
      <c r="B7" s="556"/>
      <c r="C7" s="557"/>
      <c r="D7" s="557"/>
      <c r="E7" s="557"/>
      <c r="F7" s="557"/>
      <c r="G7" s="557"/>
      <c r="H7" s="557"/>
      <c r="I7" s="558"/>
      <c r="J7" s="188"/>
    </row>
    <row r="8" spans="1:16" s="184" customFormat="1" ht="14.25" customHeight="1" x14ac:dyDescent="0.15">
      <c r="A8" s="182"/>
      <c r="B8" s="556"/>
      <c r="C8" s="557"/>
      <c r="D8" s="557"/>
      <c r="E8" s="557"/>
      <c r="F8" s="557"/>
      <c r="G8" s="557"/>
      <c r="H8" s="557"/>
      <c r="I8" s="558"/>
      <c r="J8" s="188"/>
    </row>
    <row r="9" spans="1:16" s="184" customFormat="1" ht="14.25" customHeight="1" x14ac:dyDescent="0.15">
      <c r="A9" s="182"/>
      <c r="B9" s="556"/>
      <c r="C9" s="557"/>
      <c r="D9" s="557"/>
      <c r="E9" s="557"/>
      <c r="F9" s="557"/>
      <c r="G9" s="557"/>
      <c r="H9" s="557"/>
      <c r="I9" s="558"/>
      <c r="J9" s="188"/>
    </row>
    <row r="10" spans="1:16" s="187" customFormat="1" ht="15" thickBot="1" x14ac:dyDescent="0.3">
      <c r="A10" s="185"/>
      <c r="B10" s="559"/>
      <c r="C10" s="560"/>
      <c r="D10" s="560"/>
      <c r="E10" s="560"/>
      <c r="F10" s="560"/>
      <c r="G10" s="560"/>
      <c r="H10" s="560"/>
      <c r="I10" s="561"/>
      <c r="J10" s="452"/>
    </row>
    <row r="11" spans="1:16" s="184" customFormat="1" ht="6.75" x14ac:dyDescent="0.15">
      <c r="A11" s="182"/>
      <c r="B11" s="183"/>
      <c r="C11" s="183"/>
      <c r="D11" s="183"/>
      <c r="E11" s="183"/>
      <c r="F11" s="183"/>
      <c r="G11" s="183"/>
      <c r="H11" s="183"/>
      <c r="I11" s="183"/>
      <c r="J11" s="188"/>
    </row>
    <row r="12" spans="1:16" s="187" customFormat="1" ht="36" customHeight="1" x14ac:dyDescent="0.25">
      <c r="A12" s="185"/>
      <c r="B12" s="453" t="s">
        <v>246</v>
      </c>
      <c r="C12" s="454" t="s">
        <v>140</v>
      </c>
      <c r="D12" s="664" t="s">
        <v>126</v>
      </c>
      <c r="E12" s="656" t="s">
        <v>355</v>
      </c>
      <c r="F12" s="654" t="s">
        <v>52</v>
      </c>
      <c r="G12" s="189" t="str">
        <f>'Environmental Savings Factors'!D4</f>
        <v>GHG emissions savings</v>
      </c>
      <c r="H12" s="190" t="str">
        <f>'Environmental Savings Factors'!E4</f>
        <v>Energy savings</v>
      </c>
      <c r="I12" s="191" t="str">
        <f>'Environmental Savings Factors'!F4</f>
        <v>Water savings</v>
      </c>
      <c r="J12" s="192"/>
      <c r="K12" s="193"/>
    </row>
    <row r="13" spans="1:16" s="200" customFormat="1" ht="42.75" x14ac:dyDescent="0.25">
      <c r="A13" s="194"/>
      <c r="B13" s="195" t="s">
        <v>169</v>
      </c>
      <c r="C13" s="196" t="s">
        <v>247</v>
      </c>
      <c r="D13" s="665"/>
      <c r="E13" s="657"/>
      <c r="F13" s="655"/>
      <c r="G13" s="197" t="s">
        <v>298</v>
      </c>
      <c r="H13" s="198" t="str">
        <f>'Environmental Savings Factors'!E5</f>
        <v>GJ LHV/t</v>
      </c>
      <c r="I13" s="199" t="str">
        <f>'Environmental Savings Factors'!F5</f>
        <v>kL/t</v>
      </c>
      <c r="J13" s="194"/>
    </row>
    <row r="14" spans="1:16" s="200" customFormat="1" ht="14.25" x14ac:dyDescent="0.25">
      <c r="A14" s="194"/>
      <c r="B14" s="181" t="str">
        <f>'Step 1 &amp; Step 2 Event Details'!G26</f>
        <v>Organics/food waste</v>
      </c>
      <c r="C14" s="173" t="str">
        <f>'Step 1 &amp; Step 2 Event Details'!H26</f>
        <v>Composting</v>
      </c>
      <c r="D14" s="175">
        <f>'Step 1 &amp; Step 2 Event Details'!I26</f>
        <v>0</v>
      </c>
      <c r="E14" s="404">
        <f>$D14/1000*VLOOKUP($B14,'Drop Downs and Assumptions'!$A:$B,2,FALSE)/1000</f>
        <v>0</v>
      </c>
      <c r="F14" s="174" t="str">
        <f>IFERROR(IF(E14="","",E14/$E$20),"")</f>
        <v/>
      </c>
      <c r="G14" s="175">
        <f>IFERROR(IF($E14="","",IF($C14='Drop Downs and Assumptions'!$G$2,'Drop Downs and Assumptions'!$H$2,IF('Step 4 Environmental Savings'!$C14='Drop Downs and Assumptions'!$G$4,'Drop Downs and Assumptions'!$H$4,IF('Step 4 Environmental Savings'!$C14='Drop Downs and Assumptions'!$G$5,'Drop Downs and Assumptions'!$H$5,$E14*VLOOKUP($B14,'Environmental Savings Factors'!$C$6:$F$46,2,FALSE)*1000)))),"NE")</f>
        <v>0</v>
      </c>
      <c r="H14" s="311">
        <f>IFERROR(IF($E14="","",IF($C14='Drop Downs and Assumptions'!$G$2,'Drop Downs and Assumptions'!$H$2,IF('Step 4 Environmental Savings'!$C14='Drop Downs and Assumptions'!$G$4,'Drop Downs and Assumptions'!$H$4,IF('Step 4 Environmental Savings'!$C14='Drop Downs and Assumptions'!$G$5,'Drop Downs and Assumptions'!$H$5,$E14*VLOOKUP($B14,'Environmental Savings Factors'!$C$6:$F$46,3,FALSE))))),"NE")</f>
        <v>0</v>
      </c>
      <c r="I14" s="312">
        <f>IFERROR(IF($E14="","",IF($C14='Drop Downs and Assumptions'!$G$2,'Drop Downs and Assumptions'!$H$2,IF('Step 4 Environmental Savings'!$C14='Drop Downs and Assumptions'!$G$4,'Drop Downs and Assumptions'!$H$4,IF('Step 4 Environmental Savings'!$C14='Drop Downs and Assumptions'!$G$5,'Drop Downs and Assumptions'!$H$5,$E14*VLOOKUP($B14,'Environmental Savings Factors'!$C$6:$F$46,4,FALSE))))),"NE")</f>
        <v>0</v>
      </c>
      <c r="J14" s="194"/>
      <c r="K14" s="201" t="e">
        <f>IF(OR(#REF!=0,#REF!=""),NA(),#REF!)</f>
        <v>#REF!</v>
      </c>
      <c r="L14" s="201" t="e">
        <f>IF(OR(#REF!=0,#REF!=""),"",#REF!&amp;"t")</f>
        <v>#REF!</v>
      </c>
      <c r="N14" s="194" t="str">
        <f t="shared" ref="N14:N19" si="0">B14</f>
        <v>Organics/food waste</v>
      </c>
      <c r="O14" s="194" t="str">
        <f t="shared" ref="O14:O19" si="1">C14</f>
        <v>Composting</v>
      </c>
      <c r="P14" s="200" t="e">
        <f>#REF!</f>
        <v>#REF!</v>
      </c>
    </row>
    <row r="15" spans="1:16" s="200" customFormat="1" ht="14.25" x14ac:dyDescent="0.25">
      <c r="A15" s="194"/>
      <c r="B15" s="181" t="str">
        <f>'Step 1 &amp; Step 2 Event Details'!G27</f>
        <v>10c drinks containers</v>
      </c>
      <c r="C15" s="173" t="str">
        <f>'Step 1 &amp; Step 2 Event Details'!H27</f>
        <v>Recycling</v>
      </c>
      <c r="D15" s="175">
        <f>'Step 1 &amp; Step 2 Event Details'!I27</f>
        <v>0</v>
      </c>
      <c r="E15" s="404">
        <f>$D15/1000*VLOOKUP($B15,'Drop Downs and Assumptions'!$A:$B,2,FALSE)/1000</f>
        <v>0</v>
      </c>
      <c r="F15" s="174" t="str">
        <f t="shared" ref="F15:F19" si="2">IFERROR(IF(E15="","",E15/$E$20),"")</f>
        <v/>
      </c>
      <c r="G15" s="175">
        <f>IFERROR(IF($E15="","",IF($C15='Drop Downs and Assumptions'!$G$2,'Drop Downs and Assumptions'!$H$2,IF('Step 4 Environmental Savings'!$C15='Drop Downs and Assumptions'!$G$4,'Drop Downs and Assumptions'!$H$4,IF('Step 4 Environmental Savings'!$C15='Drop Downs and Assumptions'!$G$5,'Drop Downs and Assumptions'!$H$5,$E15*VLOOKUP($B15,'Environmental Savings Factors'!$C$6:$F$46,2,FALSE)*1000)))),"NE")</f>
        <v>0</v>
      </c>
      <c r="H15" s="311">
        <f>IFERROR(IF($E15="","",IF($C15='Drop Downs and Assumptions'!$G$2,'Drop Downs and Assumptions'!$H$2,IF('Step 4 Environmental Savings'!$C15='Drop Downs and Assumptions'!$G$4,'Drop Downs and Assumptions'!$H$4,IF('Step 4 Environmental Savings'!$C15='Drop Downs and Assumptions'!$G$5,'Drop Downs and Assumptions'!$H$5,$E15*VLOOKUP($B15,'Environmental Savings Factors'!$C$6:$F$46,3,FALSE))))),"NE")</f>
        <v>0</v>
      </c>
      <c r="I15" s="312">
        <f>IFERROR(IF($E15="","",IF($C15='Drop Downs and Assumptions'!$G$2,'Drop Downs and Assumptions'!$H$2,IF('Step 4 Environmental Savings'!$C15='Drop Downs and Assumptions'!$G$4,'Drop Downs and Assumptions'!$H$4,IF('Step 4 Environmental Savings'!$C15='Drop Downs and Assumptions'!$G$5,'Drop Downs and Assumptions'!$H$5,$E15*VLOOKUP($B15,'Environmental Savings Factors'!$C$6:$F$46,4,FALSE))))),"NE")</f>
        <v>0</v>
      </c>
      <c r="J15" s="194"/>
      <c r="K15" s="201" t="e">
        <f>IF(OR(#REF!=0,#REF!=""),NA(),#REF!)</f>
        <v>#REF!</v>
      </c>
      <c r="L15" s="201" t="e">
        <f>IF(OR(#REF!=0,#REF!=""),"",#REF!&amp;"t")</f>
        <v>#REF!</v>
      </c>
      <c r="N15" s="194" t="str">
        <f t="shared" si="0"/>
        <v>10c drinks containers</v>
      </c>
      <c r="O15" s="194" t="str">
        <f t="shared" si="1"/>
        <v>Recycling</v>
      </c>
      <c r="P15" s="200" t="e">
        <f>#REF!</f>
        <v>#REF!</v>
      </c>
    </row>
    <row r="16" spans="1:16" s="200" customFormat="1" ht="14.25" x14ac:dyDescent="0.25">
      <c r="A16" s="194"/>
      <c r="B16" s="181" t="str">
        <f>'Step 1 &amp; Step 2 Event Details'!G28</f>
        <v>Comingled recycling</v>
      </c>
      <c r="C16" s="173" t="str">
        <f>'Step 1 &amp; Step 2 Event Details'!H28</f>
        <v>Recycling</v>
      </c>
      <c r="D16" s="175">
        <f>'Step 1 &amp; Step 2 Event Details'!I28</f>
        <v>0</v>
      </c>
      <c r="E16" s="404">
        <f>$D16/1000*VLOOKUP($B16,'Drop Downs and Assumptions'!$A:$B,2,FALSE)/1000</f>
        <v>0</v>
      </c>
      <c r="F16" s="174" t="str">
        <f t="shared" si="2"/>
        <v/>
      </c>
      <c r="G16" s="175">
        <f>IFERROR(IF($E16="","",IF($C16='Drop Downs and Assumptions'!$G$2,'Drop Downs and Assumptions'!$H$2,IF('Step 4 Environmental Savings'!$C16='Drop Downs and Assumptions'!$G$4,'Drop Downs and Assumptions'!$H$4,IF('Step 4 Environmental Savings'!$C16='Drop Downs and Assumptions'!$G$5,'Drop Downs and Assumptions'!$H$5,$E16*VLOOKUP($B16,'Environmental Savings Factors'!$C$6:$F$46,2,FALSE)*1000)))),"NE")</f>
        <v>0</v>
      </c>
      <c r="H16" s="311">
        <f>IFERROR(IF($E16="","",IF($C16='Drop Downs and Assumptions'!$G$2,'Drop Downs and Assumptions'!$H$2,IF('Step 4 Environmental Savings'!$C16='Drop Downs and Assumptions'!$G$4,'Drop Downs and Assumptions'!$H$4,IF('Step 4 Environmental Savings'!$C16='Drop Downs and Assumptions'!$G$5,'Drop Downs and Assumptions'!$H$5,$E16*VLOOKUP($B16,'Environmental Savings Factors'!$C$6:$F$46,3,FALSE))))),"NE")</f>
        <v>0</v>
      </c>
      <c r="I16" s="312">
        <f>IFERROR(IF($E16="","",IF($C16='Drop Downs and Assumptions'!$G$2,'Drop Downs and Assumptions'!$H$2,IF('Step 4 Environmental Savings'!$C16='Drop Downs and Assumptions'!$G$4,'Drop Downs and Assumptions'!$H$4,IF('Step 4 Environmental Savings'!$C16='Drop Downs and Assumptions'!$G$5,'Drop Downs and Assumptions'!$H$5,$E16*VLOOKUP($B16,'Environmental Savings Factors'!$C$6:$F$46,4,FALSE))))),"NE")</f>
        <v>0</v>
      </c>
      <c r="J16" s="194"/>
      <c r="K16" s="201" t="e">
        <f>IF(OR(#REF!=0,#REF!=""),NA(),#REF!)</f>
        <v>#REF!</v>
      </c>
      <c r="L16" s="201" t="e">
        <f>IF(OR(#REF!=0,#REF!=""),"",#REF!&amp;"t")</f>
        <v>#REF!</v>
      </c>
      <c r="N16" s="194" t="str">
        <f t="shared" si="0"/>
        <v>Comingled recycling</v>
      </c>
      <c r="O16" s="194" t="str">
        <f t="shared" si="1"/>
        <v>Recycling</v>
      </c>
      <c r="P16" s="200" t="e">
        <f>#REF!</f>
        <v>#REF!</v>
      </c>
    </row>
    <row r="17" spans="1:18" s="200" customFormat="1" ht="14.25" x14ac:dyDescent="0.25">
      <c r="A17" s="194"/>
      <c r="B17" s="181" t="str">
        <f>'Step 1 &amp; Step 2 Event Details'!G29</f>
        <v>Cardboard and clean paper</v>
      </c>
      <c r="C17" s="173" t="str">
        <f>'Step 1 &amp; Step 2 Event Details'!H29</f>
        <v>Recycling</v>
      </c>
      <c r="D17" s="175">
        <f>'Step 1 &amp; Step 2 Event Details'!I29</f>
        <v>0</v>
      </c>
      <c r="E17" s="404">
        <f>$D17/1000*VLOOKUP($B17,'Drop Downs and Assumptions'!$A:$B,2,FALSE)/1000</f>
        <v>0</v>
      </c>
      <c r="F17" s="174" t="str">
        <f t="shared" si="2"/>
        <v/>
      </c>
      <c r="G17" s="175">
        <f>IFERROR(IF($E17="","",IF($C17='Drop Downs and Assumptions'!$G$2,'Drop Downs and Assumptions'!$H$2,IF('Step 4 Environmental Savings'!$C17='Drop Downs and Assumptions'!$G$4,'Drop Downs and Assumptions'!$H$4,IF('Step 4 Environmental Savings'!$C17='Drop Downs and Assumptions'!$G$5,'Drop Downs and Assumptions'!$H$5,$E17*VLOOKUP($B17,'Environmental Savings Factors'!$C$6:$F$46,2,FALSE)*1000)))),"NE")</f>
        <v>0</v>
      </c>
      <c r="H17" s="311">
        <f>IFERROR(IF($E17="","",IF($C17='Drop Downs and Assumptions'!$G$2,'Drop Downs and Assumptions'!$H$2,IF('Step 4 Environmental Savings'!$C17='Drop Downs and Assumptions'!$G$4,'Drop Downs and Assumptions'!$H$4,IF('Step 4 Environmental Savings'!$C17='Drop Downs and Assumptions'!$G$5,'Drop Downs and Assumptions'!$H$5,$E17*VLOOKUP($B17,'Environmental Savings Factors'!$C$6:$F$46,3,FALSE))))),"NE")</f>
        <v>0</v>
      </c>
      <c r="I17" s="312">
        <f>IFERROR(IF($E17="","",IF($C17='Drop Downs and Assumptions'!$G$2,'Drop Downs and Assumptions'!$H$2,IF('Step 4 Environmental Savings'!$C17='Drop Downs and Assumptions'!$G$4,'Drop Downs and Assumptions'!$H$4,IF('Step 4 Environmental Savings'!$C17='Drop Downs and Assumptions'!$G$5,'Drop Downs and Assumptions'!$H$5,$E17*VLOOKUP($B17,'Environmental Savings Factors'!$C$6:$F$46,4,FALSE))))),"NE")</f>
        <v>0</v>
      </c>
      <c r="J17" s="194"/>
      <c r="K17" s="201" t="e">
        <f>IF(OR(#REF!=0,#REF!=""),NA(),#REF!)</f>
        <v>#REF!</v>
      </c>
      <c r="L17" s="201" t="e">
        <f>IF(OR(#REF!=0,#REF!=""),"",#REF!&amp;"t")</f>
        <v>#REF!</v>
      </c>
      <c r="N17" s="194" t="str">
        <f t="shared" si="0"/>
        <v>Cardboard and clean paper</v>
      </c>
      <c r="O17" s="194" t="str">
        <f t="shared" si="1"/>
        <v>Recycling</v>
      </c>
      <c r="P17" s="200" t="e">
        <f>#REF!</f>
        <v>#REF!</v>
      </c>
    </row>
    <row r="18" spans="1:18" s="200" customFormat="1" ht="14.25" x14ac:dyDescent="0.25">
      <c r="A18" s="194"/>
      <c r="B18" s="181" t="str">
        <f>'Step 1 &amp; Step 2 Event Details'!G30</f>
        <v>Dry waste*</v>
      </c>
      <c r="C18" s="173" t="str">
        <f>'Step 1 &amp; Step 2 Event Details'!H30</f>
        <v>Alternative fuels/EfW</v>
      </c>
      <c r="D18" s="175">
        <f>'Step 1 &amp; Step 2 Event Details'!I30</f>
        <v>0</v>
      </c>
      <c r="E18" s="404">
        <f>$D18/1000*VLOOKUP($B18,'Drop Downs and Assumptions'!$A:$B,2,FALSE)/1000</f>
        <v>0</v>
      </c>
      <c r="F18" s="174" t="str">
        <f t="shared" si="2"/>
        <v/>
      </c>
      <c r="G18" s="175" t="str">
        <f>IFERROR(IF($E18="","",IF($C18='Drop Downs and Assumptions'!$G$2,'Drop Downs and Assumptions'!$H$2,IF('Step 4 Environmental Savings'!$C18='Drop Downs and Assumptions'!$G$4,'Drop Downs and Assumptions'!$H$4,IF('Step 4 Environmental Savings'!$C18='Drop Downs and Assumptions'!$G$5,'Drop Downs and Assumptions'!$H$5,$E18*VLOOKUP($B18,'Environmental Savings Factors'!$C$6:$F$46,2,FALSE)*1000)))),"NE")</f>
        <v>NE</v>
      </c>
      <c r="H18" s="175" t="str">
        <f>IFERROR(IF($E18="","",IF($C18='Drop Downs and Assumptions'!$G$2,'Drop Downs and Assumptions'!$H$2,IF('Step 4 Environmental Savings'!$C18='Drop Downs and Assumptions'!$G$4,'Drop Downs and Assumptions'!$H$4,IF('Step 4 Environmental Savings'!$C18='Drop Downs and Assumptions'!$G$5,'Drop Downs and Assumptions'!$H$5,$E18*VLOOKUP($B18,'Environmental Savings Factors'!$C$6:$F$46,3,FALSE))))),"NE")</f>
        <v>NE</v>
      </c>
      <c r="I18" s="176" t="str">
        <f>IFERROR(IF($E18="","",IF($C18='Drop Downs and Assumptions'!$G$2,'Drop Downs and Assumptions'!$H$2,IF('Step 4 Environmental Savings'!$C18='Drop Downs and Assumptions'!$G$4,'Drop Downs and Assumptions'!$H$4,IF('Step 4 Environmental Savings'!$C18='Drop Downs and Assumptions'!$G$5,'Drop Downs and Assumptions'!$H$5,$E18*VLOOKUP($B18,'Environmental Savings Factors'!$C$6:$F$46,4,FALSE))))),"NE")</f>
        <v>NE</v>
      </c>
      <c r="J18" s="194"/>
      <c r="K18" s="201" t="e">
        <f>IF(OR(#REF!=0,#REF!=""),NA(),#REF!)</f>
        <v>#REF!</v>
      </c>
      <c r="L18" s="201" t="e">
        <f>IF(OR(#REF!=0,#REF!=""),"",#REF!&amp;"t")</f>
        <v>#REF!</v>
      </c>
      <c r="N18" s="194" t="str">
        <f t="shared" si="0"/>
        <v>Dry waste*</v>
      </c>
      <c r="O18" s="194" t="str">
        <f t="shared" si="1"/>
        <v>Alternative fuels/EfW</v>
      </c>
      <c r="P18" s="200" t="e">
        <f>#REF!</f>
        <v>#REF!</v>
      </c>
    </row>
    <row r="19" spans="1:18" s="200" customFormat="1" ht="14.25" x14ac:dyDescent="0.25">
      <c r="A19" s="194"/>
      <c r="B19" s="181" t="str">
        <f>'Step 1 &amp; Step 2 Event Details'!G31</f>
        <v>General waste</v>
      </c>
      <c r="C19" s="173" t="str">
        <f>'Step 1 &amp; Step 2 Event Details'!H31</f>
        <v>Landfill</v>
      </c>
      <c r="D19" s="175">
        <f>'Step 1 &amp; Step 2 Event Details'!I31</f>
        <v>0</v>
      </c>
      <c r="E19" s="404">
        <f>$D19/1000*VLOOKUP($B19,'Drop Downs and Assumptions'!$A:$B,2,FALSE)/1000</f>
        <v>0</v>
      </c>
      <c r="F19" s="174" t="str">
        <f t="shared" si="2"/>
        <v/>
      </c>
      <c r="G19" s="175" t="str">
        <f>IFERROR(IF($E19="","",IF($C19='Drop Downs and Assumptions'!$G$2,'Drop Downs and Assumptions'!$H$2,IF('Step 4 Environmental Savings'!$C19='Drop Downs and Assumptions'!$G$4,'Drop Downs and Assumptions'!$H$4,IF('Step 4 Environmental Savings'!$C19='Drop Downs and Assumptions'!$G$5,'Drop Downs and Assumptions'!$H$5,$E19*VLOOKUP($B19,'Environmental Savings Factors'!$C$6:$F$46,2,FALSE)*1000)))),"NE")</f>
        <v>NEB</v>
      </c>
      <c r="H19" s="175" t="str">
        <f>IFERROR(IF($E19="","",IF($C19='Drop Downs and Assumptions'!$G$2,'Drop Downs and Assumptions'!$H$2,IF('Step 4 Environmental Savings'!$C19='Drop Downs and Assumptions'!$G$4,'Drop Downs and Assumptions'!$H$4,IF('Step 4 Environmental Savings'!$C19='Drop Downs and Assumptions'!$G$5,'Drop Downs and Assumptions'!$H$5,$E19*VLOOKUP($B19,'Environmental Savings Factors'!$C$6:$F$46,3,FALSE))))),"NE")</f>
        <v>NEB</v>
      </c>
      <c r="I19" s="176" t="str">
        <f>IFERROR(IF($E19="","",IF($C19='Drop Downs and Assumptions'!$G$2,'Drop Downs and Assumptions'!$H$2,IF('Step 4 Environmental Savings'!$C19='Drop Downs and Assumptions'!$G$4,'Drop Downs and Assumptions'!$H$4,IF('Step 4 Environmental Savings'!$C19='Drop Downs and Assumptions'!$G$5,'Drop Downs and Assumptions'!$H$5,$E19*VLOOKUP($B19,'Environmental Savings Factors'!$C$6:$F$46,4,FALSE))))),"NE")</f>
        <v>NEB</v>
      </c>
      <c r="J19" s="194"/>
      <c r="K19" s="201" t="e">
        <f>IF(OR(#REF!=0,#REF!=""),NA(),#REF!)</f>
        <v>#REF!</v>
      </c>
      <c r="L19" s="201" t="e">
        <f>IF(OR(#REF!=0,#REF!=""),"",#REF!&amp;"t")</f>
        <v>#REF!</v>
      </c>
      <c r="N19" s="194" t="str">
        <f t="shared" si="0"/>
        <v>General waste</v>
      </c>
      <c r="O19" s="194" t="str">
        <f t="shared" si="1"/>
        <v>Landfill</v>
      </c>
      <c r="P19" s="200" t="e">
        <f>#REF!</f>
        <v>#REF!</v>
      </c>
    </row>
    <row r="20" spans="1:18" s="200" customFormat="1" ht="14.25" x14ac:dyDescent="0.25">
      <c r="A20" s="194"/>
      <c r="B20" s="202"/>
      <c r="C20" s="202" t="s">
        <v>289</v>
      </c>
      <c r="D20" s="455">
        <f t="shared" ref="D20:I20" si="3">SUM(D14:D19)</f>
        <v>0</v>
      </c>
      <c r="E20" s="405">
        <f t="shared" si="3"/>
        <v>0</v>
      </c>
      <c r="F20" s="177">
        <f t="shared" si="3"/>
        <v>0</v>
      </c>
      <c r="G20" s="178">
        <f t="shared" si="3"/>
        <v>0</v>
      </c>
      <c r="H20" s="179">
        <f t="shared" si="3"/>
        <v>0</v>
      </c>
      <c r="I20" s="180">
        <f t="shared" si="3"/>
        <v>0</v>
      </c>
      <c r="J20" s="194"/>
    </row>
    <row r="21" spans="1:18" s="203" customFormat="1" ht="8.25" x14ac:dyDescent="0.15">
      <c r="B21" s="204"/>
      <c r="C21" s="204"/>
      <c r="D21" s="205"/>
      <c r="E21" s="205"/>
      <c r="F21" s="206"/>
      <c r="G21" s="207"/>
      <c r="H21" s="207"/>
      <c r="I21" s="207"/>
    </row>
    <row r="22" spans="1:18" ht="13.5" customHeight="1" x14ac:dyDescent="0.25">
      <c r="B22" s="208" t="s">
        <v>286</v>
      </c>
    </row>
    <row r="23" spans="1:18" ht="13.5" customHeight="1" x14ac:dyDescent="0.25">
      <c r="B23" s="209" t="s">
        <v>285</v>
      </c>
      <c r="C23" s="210"/>
      <c r="D23" s="210"/>
      <c r="E23" s="210"/>
      <c r="F23" s="210"/>
      <c r="G23" s="210"/>
      <c r="H23" s="210"/>
    </row>
    <row r="24" spans="1:18" ht="13.5" customHeight="1" x14ac:dyDescent="0.25">
      <c r="B24" s="211" t="s">
        <v>222</v>
      </c>
      <c r="C24" s="210"/>
      <c r="D24" s="210"/>
      <c r="E24" s="210"/>
      <c r="F24" s="210"/>
      <c r="G24" s="210"/>
      <c r="H24" s="210"/>
    </row>
    <row r="25" spans="1:18" s="184" customFormat="1" ht="6.75" x14ac:dyDescent="0.15">
      <c r="A25" s="182"/>
      <c r="B25" s="183"/>
      <c r="C25" s="183"/>
      <c r="D25" s="183"/>
      <c r="E25" s="183"/>
      <c r="F25" s="183"/>
      <c r="G25" s="183"/>
      <c r="H25" s="183"/>
      <c r="I25" s="183"/>
      <c r="J25" s="183"/>
      <c r="K25" s="183"/>
      <c r="L25" s="183"/>
      <c r="M25" s="183"/>
      <c r="N25" s="183"/>
      <c r="O25" s="188"/>
      <c r="P25" s="188"/>
      <c r="Q25" s="188"/>
      <c r="R25" s="188"/>
    </row>
    <row r="26" spans="1:18" ht="13.5" customHeight="1" x14ac:dyDescent="0.25">
      <c r="B26" s="651" t="s">
        <v>223</v>
      </c>
      <c r="C26" s="651"/>
      <c r="D26" s="666" t="str">
        <f>"Annual GHG emissions of "&amp;ROUND(G20/1000*'Environmental Savings Factors'!D48,1)&amp;" cars"</f>
        <v>Annual GHG emissions of 0 cars</v>
      </c>
      <c r="E26" s="666"/>
      <c r="F26" s="658" t="str">
        <f>"Annual energy consumption of "&amp;ROUND(H20*'Environmental Savings Factors'!D49,1)&amp;" average households"</f>
        <v>Annual energy consumption of 0 average households</v>
      </c>
      <c r="G26" s="658"/>
      <c r="H26" s="661" t="str">
        <f>"Water savings equal to "&amp;ROUND(I20*'Environmental Savings Factors'!D52,2)&amp;" Olympic sizes swimming pools"</f>
        <v>Water savings equal to 0 Olympic sizes swimming pools</v>
      </c>
      <c r="I26" s="661"/>
    </row>
    <row r="27" spans="1:18" ht="13.5" customHeight="1" x14ac:dyDescent="0.25">
      <c r="B27" s="652"/>
      <c r="C27" s="652"/>
      <c r="D27" s="667"/>
      <c r="E27" s="667"/>
      <c r="F27" s="659"/>
      <c r="G27" s="659"/>
      <c r="H27" s="662"/>
      <c r="I27" s="662"/>
    </row>
    <row r="28" spans="1:18" ht="13.5" customHeight="1" x14ac:dyDescent="0.25">
      <c r="B28" s="652"/>
      <c r="C28" s="652"/>
      <c r="D28" s="667"/>
      <c r="E28" s="667"/>
      <c r="F28" s="659"/>
      <c r="G28" s="659"/>
      <c r="H28" s="662"/>
      <c r="I28" s="662"/>
    </row>
    <row r="29" spans="1:18" ht="13.5" customHeight="1" x14ac:dyDescent="0.25">
      <c r="B29" s="652"/>
      <c r="C29" s="652"/>
      <c r="D29" s="667"/>
      <c r="E29" s="667"/>
      <c r="F29" s="659"/>
      <c r="G29" s="659"/>
      <c r="H29" s="662"/>
      <c r="I29" s="662"/>
    </row>
    <row r="30" spans="1:18" ht="13.5" customHeight="1" x14ac:dyDescent="0.25">
      <c r="B30" s="652"/>
      <c r="C30" s="652"/>
      <c r="D30" s="667"/>
      <c r="E30" s="667"/>
      <c r="F30" s="659"/>
      <c r="G30" s="659"/>
      <c r="H30" s="662"/>
      <c r="I30" s="662"/>
    </row>
    <row r="31" spans="1:18" ht="13.5" customHeight="1" x14ac:dyDescent="0.25">
      <c r="B31" s="653"/>
      <c r="C31" s="653"/>
      <c r="D31" s="668"/>
      <c r="E31" s="668"/>
      <c r="F31" s="660"/>
      <c r="G31" s="660"/>
      <c r="H31" s="663"/>
      <c r="I31" s="663"/>
    </row>
    <row r="32" spans="1:18" ht="13.5" customHeight="1" x14ac:dyDescent="0.25"/>
    <row r="33" spans="2:2" ht="13.5" customHeight="1" x14ac:dyDescent="0.25">
      <c r="B33" s="212" t="s">
        <v>306</v>
      </c>
    </row>
    <row r="34" spans="2:2" ht="13.5" customHeight="1" x14ac:dyDescent="0.25">
      <c r="B34" s="213" t="s">
        <v>287</v>
      </c>
    </row>
    <row r="35" spans="2:2" ht="13.5" customHeight="1" x14ac:dyDescent="0.25">
      <c r="B35" s="213" t="s">
        <v>369</v>
      </c>
    </row>
    <row r="36" spans="2:2" ht="13.5" customHeight="1" x14ac:dyDescent="0.25">
      <c r="B36" s="213" t="s">
        <v>305</v>
      </c>
    </row>
    <row r="37" spans="2:2" ht="13.5" customHeight="1" x14ac:dyDescent="0.25">
      <c r="B37" s="213" t="s">
        <v>308</v>
      </c>
    </row>
    <row r="38" spans="2:2" ht="13.5" customHeight="1" x14ac:dyDescent="0.25">
      <c r="B38" s="213" t="s">
        <v>303</v>
      </c>
    </row>
    <row r="39" spans="2:2" ht="13.5" hidden="1" customHeight="1" x14ac:dyDescent="0.25"/>
    <row r="40" spans="2:2" ht="13.5" hidden="1" customHeight="1" x14ac:dyDescent="0.25"/>
    <row r="41" spans="2:2" ht="13.5" hidden="1" customHeight="1" x14ac:dyDescent="0.25"/>
    <row r="42" spans="2:2" ht="13.5" hidden="1" customHeight="1" x14ac:dyDescent="0.25"/>
    <row r="43" spans="2:2" ht="13.5" hidden="1" customHeight="1" x14ac:dyDescent="0.25"/>
    <row r="44" spans="2:2" ht="13.5" hidden="1" customHeight="1" x14ac:dyDescent="0.25"/>
    <row r="45" spans="2:2" ht="13.5" hidden="1" customHeight="1" x14ac:dyDescent="0.25"/>
    <row r="46" spans="2:2" ht="13.5" hidden="1" customHeight="1" x14ac:dyDescent="0.25"/>
    <row r="47" spans="2:2" ht="13.5" hidden="1" customHeight="1" x14ac:dyDescent="0.25"/>
    <row r="48" spans="2:2" ht="13.5" hidden="1" customHeight="1" x14ac:dyDescent="0.25"/>
    <row r="49" ht="13.5" hidden="1" customHeight="1" x14ac:dyDescent="0.25"/>
    <row r="50" ht="13.5" hidden="1" customHeight="1" x14ac:dyDescent="0.25"/>
    <row r="51" ht="13.5" hidden="1" customHeight="1" x14ac:dyDescent="0.25"/>
    <row r="52" ht="13.5" hidden="1" customHeight="1" x14ac:dyDescent="0.25"/>
    <row r="53" ht="13.5" hidden="1" customHeight="1" x14ac:dyDescent="0.25"/>
    <row r="54" ht="13.5" hidden="1" customHeight="1" x14ac:dyDescent="0.25"/>
    <row r="55" ht="13.5" hidden="1" customHeight="1" x14ac:dyDescent="0.25"/>
    <row r="56" ht="13.5" hidden="1" customHeight="1" x14ac:dyDescent="0.25"/>
    <row r="57" ht="13.5" hidden="1" customHeight="1" x14ac:dyDescent="0.25"/>
    <row r="58" ht="13.5" hidden="1" customHeight="1" x14ac:dyDescent="0.25"/>
    <row r="59" ht="13.5" hidden="1" customHeight="1" x14ac:dyDescent="0.25"/>
    <row r="60" ht="13.5" hidden="1" customHeight="1" x14ac:dyDescent="0.25"/>
    <row r="61" ht="13.5" hidden="1" customHeight="1" x14ac:dyDescent="0.25"/>
    <row r="62" ht="13.5" hidden="1" customHeight="1" x14ac:dyDescent="0.25"/>
    <row r="63" ht="13.5" hidden="1" customHeight="1" x14ac:dyDescent="0.25"/>
    <row r="64" ht="13.5" hidden="1" customHeight="1" x14ac:dyDescent="0.25"/>
    <row r="65" ht="13.5" hidden="1" customHeight="1" x14ac:dyDescent="0.25"/>
    <row r="66" ht="13.5" hidden="1" customHeight="1" x14ac:dyDescent="0.25"/>
    <row r="67" ht="13.5" hidden="1" customHeight="1" x14ac:dyDescent="0.25"/>
    <row r="68" ht="13.5" hidden="1" customHeight="1" x14ac:dyDescent="0.25"/>
    <row r="69" ht="13.5" hidden="1" customHeight="1" x14ac:dyDescent="0.25"/>
    <row r="70" ht="13.5" hidden="1" customHeight="1" x14ac:dyDescent="0.25"/>
    <row r="71" ht="13.5" hidden="1" customHeight="1" x14ac:dyDescent="0.25"/>
    <row r="72" ht="13.5" hidden="1" customHeight="1" x14ac:dyDescent="0.25"/>
    <row r="73" ht="13.5" hidden="1" customHeight="1" x14ac:dyDescent="0.25"/>
    <row r="74" ht="13.5" hidden="1" customHeight="1" x14ac:dyDescent="0.25"/>
    <row r="75" ht="13.5" hidden="1" customHeight="1" x14ac:dyDescent="0.25"/>
    <row r="76" ht="13.5" hidden="1" customHeight="1" x14ac:dyDescent="0.25"/>
    <row r="77" ht="13.5" hidden="1" customHeight="1" x14ac:dyDescent="0.25"/>
    <row r="78" ht="13.5" hidden="1" customHeight="1" x14ac:dyDescent="0.25"/>
    <row r="79" ht="13.5" hidden="1" customHeight="1" x14ac:dyDescent="0.25"/>
    <row r="80" ht="13.5" hidden="1" customHeight="1" x14ac:dyDescent="0.25"/>
    <row r="81" ht="13.5" hidden="1" customHeight="1" x14ac:dyDescent="0.25"/>
    <row r="82" ht="13.5" hidden="1" customHeight="1" x14ac:dyDescent="0.25"/>
    <row r="83" ht="13.5" hidden="1" customHeight="1" x14ac:dyDescent="0.25"/>
    <row r="84" ht="13.5" hidden="1" customHeight="1" x14ac:dyDescent="0.25"/>
    <row r="85" ht="13.5" hidden="1" customHeight="1" x14ac:dyDescent="0.25"/>
    <row r="86" ht="13.5" hidden="1" customHeight="1" x14ac:dyDescent="0.25"/>
    <row r="87" ht="13.5" hidden="1" customHeight="1" x14ac:dyDescent="0.25"/>
    <row r="88" ht="13.5" hidden="1" customHeight="1" x14ac:dyDescent="0.25"/>
    <row r="89" ht="13.5" hidden="1" customHeight="1" x14ac:dyDescent="0.25"/>
    <row r="90" ht="13.5" hidden="1" customHeight="1" x14ac:dyDescent="0.25"/>
    <row r="91" ht="13.5" hidden="1" customHeight="1" x14ac:dyDescent="0.25"/>
    <row r="92" ht="13.5" hidden="1" customHeight="1" x14ac:dyDescent="0.25"/>
    <row r="93" ht="13.5" hidden="1" customHeight="1" x14ac:dyDescent="0.25"/>
    <row r="94" ht="13.5" hidden="1" customHeight="1" x14ac:dyDescent="0.25"/>
    <row r="95" ht="13.5" hidden="1" customHeight="1" x14ac:dyDescent="0.25"/>
    <row r="96" ht="13.5" hidden="1" customHeight="1" x14ac:dyDescent="0.25"/>
    <row r="97" ht="13.5" hidden="1" customHeight="1" x14ac:dyDescent="0.25"/>
    <row r="98" ht="13.5" hidden="1" customHeight="1" x14ac:dyDescent="0.25"/>
    <row r="99" ht="13.5" hidden="1" customHeight="1" x14ac:dyDescent="0.25"/>
    <row r="100" ht="13.5" hidden="1" customHeight="1" x14ac:dyDescent="0.25"/>
    <row r="101" ht="13.5" hidden="1" customHeight="1" x14ac:dyDescent="0.25"/>
    <row r="102" ht="13.5" hidden="1" customHeight="1" x14ac:dyDescent="0.25"/>
    <row r="103" ht="13.5" hidden="1" customHeight="1" x14ac:dyDescent="0.25"/>
    <row r="104" ht="13.5" hidden="1" customHeight="1" x14ac:dyDescent="0.25"/>
    <row r="105" ht="13.5" hidden="1" customHeight="1" x14ac:dyDescent="0.25"/>
    <row r="106" ht="13.5" hidden="1" customHeight="1" x14ac:dyDescent="0.25"/>
    <row r="107" ht="13.5" hidden="1" customHeight="1" x14ac:dyDescent="0.25"/>
    <row r="108" ht="13.5" hidden="1" customHeight="1" x14ac:dyDescent="0.25"/>
    <row r="109" ht="13.5" hidden="1" customHeight="1" x14ac:dyDescent="0.25"/>
    <row r="110" ht="13.5" hidden="1" customHeight="1" x14ac:dyDescent="0.25"/>
    <row r="111" ht="13.5" hidden="1" customHeight="1" x14ac:dyDescent="0.25"/>
    <row r="112" ht="13.5" hidden="1" customHeight="1" x14ac:dyDescent="0.25"/>
    <row r="113" ht="13.5" hidden="1" customHeight="1" x14ac:dyDescent="0.25"/>
    <row r="114" ht="13.5" hidden="1" customHeight="1" x14ac:dyDescent="0.25"/>
    <row r="115" ht="13.5" hidden="1" customHeight="1" x14ac:dyDescent="0.25"/>
    <row r="116" ht="13.5" hidden="1" customHeight="1" x14ac:dyDescent="0.25"/>
    <row r="117" ht="13.5" hidden="1" customHeight="1" x14ac:dyDescent="0.25"/>
    <row r="118" ht="13.5" hidden="1" customHeight="1" x14ac:dyDescent="0.25"/>
    <row r="119" ht="13.5" hidden="1" customHeight="1" x14ac:dyDescent="0.25"/>
    <row r="120" ht="13.5" hidden="1" customHeight="1" x14ac:dyDescent="0.25"/>
    <row r="121" ht="13.5" hidden="1" customHeight="1" x14ac:dyDescent="0.25"/>
    <row r="122" ht="13.5" hidden="1" customHeight="1" x14ac:dyDescent="0.25"/>
    <row r="123" ht="13.5" hidden="1" customHeight="1" x14ac:dyDescent="0.25"/>
    <row r="124" ht="13.5" hidden="1" customHeight="1" x14ac:dyDescent="0.25"/>
    <row r="125" ht="13.5" hidden="1" customHeight="1" x14ac:dyDescent="0.25"/>
    <row r="126" ht="13.5" hidden="1" customHeight="1" x14ac:dyDescent="0.25"/>
    <row r="127" ht="13.5" hidden="1" customHeight="1" x14ac:dyDescent="0.25"/>
    <row r="128" ht="13.5" hidden="1" customHeight="1" x14ac:dyDescent="0.25"/>
    <row r="129" ht="13.5" hidden="1" customHeight="1" x14ac:dyDescent="0.25"/>
    <row r="130" ht="13.5" hidden="1" customHeight="1" x14ac:dyDescent="0.25"/>
    <row r="131" ht="13.5" hidden="1" customHeight="1" x14ac:dyDescent="0.25"/>
    <row r="132" ht="13.5" hidden="1" customHeight="1" x14ac:dyDescent="0.25"/>
    <row r="133" ht="13.5" hidden="1" customHeight="1" x14ac:dyDescent="0.25"/>
    <row r="134" ht="13.5" hidden="1" customHeight="1" x14ac:dyDescent="0.25"/>
    <row r="135" ht="13.5" hidden="1" customHeight="1" x14ac:dyDescent="0.25"/>
    <row r="136" ht="13.5" hidden="1" customHeight="1" x14ac:dyDescent="0.25"/>
    <row r="137" ht="13.5" hidden="1" customHeight="1" x14ac:dyDescent="0.25"/>
    <row r="138" ht="13.5" hidden="1" customHeight="1" x14ac:dyDescent="0.25"/>
    <row r="139" ht="13.5" hidden="1" customHeight="1" x14ac:dyDescent="0.25"/>
    <row r="140" ht="13.5" hidden="1" customHeight="1" x14ac:dyDescent="0.25"/>
    <row r="141" ht="13.5" hidden="1" customHeight="1" x14ac:dyDescent="0.25"/>
    <row r="142" ht="13.5" hidden="1" customHeight="1" x14ac:dyDescent="0.25"/>
    <row r="143" ht="13.5" hidden="1" customHeight="1" x14ac:dyDescent="0.25"/>
    <row r="144" ht="13.5" hidden="1" customHeight="1" x14ac:dyDescent="0.25"/>
    <row r="145" ht="13.5" hidden="1" customHeight="1" x14ac:dyDescent="0.25"/>
    <row r="146" ht="13.5" hidden="1" customHeight="1" x14ac:dyDescent="0.25"/>
    <row r="147" ht="13.5" hidden="1" customHeight="1" x14ac:dyDescent="0.25"/>
    <row r="148" ht="13.5" hidden="1" customHeight="1" x14ac:dyDescent="0.25"/>
    <row r="149" ht="0" hidden="1" customHeight="1" x14ac:dyDescent="0.25"/>
    <row r="150" ht="0" hidden="1" customHeight="1" x14ac:dyDescent="0.25"/>
    <row r="151" ht="0" hidden="1" customHeight="1" x14ac:dyDescent="0.25"/>
    <row r="152" ht="0" hidden="1" customHeight="1" x14ac:dyDescent="0.25"/>
    <row r="153" ht="0" hidden="1" customHeight="1" x14ac:dyDescent="0.25"/>
    <row r="154" ht="0" hidden="1" customHeight="1" x14ac:dyDescent="0.25"/>
    <row r="155" ht="0" hidden="1" customHeight="1" x14ac:dyDescent="0.25"/>
    <row r="156" ht="0" hidden="1" customHeight="1" x14ac:dyDescent="0.25"/>
    <row r="157" ht="0" hidden="1" customHeight="1" x14ac:dyDescent="0.25"/>
    <row r="158" ht="0" hidden="1" customHeight="1" x14ac:dyDescent="0.25"/>
    <row r="159" ht="0" hidden="1" customHeight="1" x14ac:dyDescent="0.25"/>
    <row r="160" ht="0" hidden="1" customHeight="1" x14ac:dyDescent="0.25"/>
    <row r="161" ht="0" hidden="1" customHeight="1" x14ac:dyDescent="0.25"/>
    <row r="162" ht="0" hidden="1" customHeight="1" x14ac:dyDescent="0.25"/>
    <row r="163" ht="0" hidden="1" customHeight="1" x14ac:dyDescent="0.25"/>
    <row r="164" ht="0" hidden="1" customHeight="1" x14ac:dyDescent="0.25"/>
    <row r="165" ht="0" hidden="1" customHeight="1" x14ac:dyDescent="0.25"/>
    <row r="166" ht="0" hidden="1" customHeight="1" x14ac:dyDescent="0.25"/>
    <row r="167" ht="0" hidden="1" customHeight="1" x14ac:dyDescent="0.25"/>
    <row r="168" ht="0" hidden="1" customHeight="1" x14ac:dyDescent="0.25"/>
    <row r="169" ht="0" hidden="1" customHeight="1" x14ac:dyDescent="0.25"/>
    <row r="170" ht="0" hidden="1" customHeight="1" x14ac:dyDescent="0.25"/>
    <row r="171" ht="0" hidden="1" customHeight="1" x14ac:dyDescent="0.25"/>
    <row r="172" ht="0" hidden="1" customHeight="1" x14ac:dyDescent="0.25"/>
    <row r="173" ht="0" hidden="1" customHeight="1" x14ac:dyDescent="0.25"/>
    <row r="174" ht="0" hidden="1" customHeight="1" x14ac:dyDescent="0.25"/>
    <row r="175" ht="0" hidden="1" customHeight="1" x14ac:dyDescent="0.25"/>
    <row r="176" ht="0" hidden="1" customHeight="1" x14ac:dyDescent="0.25"/>
    <row r="177" ht="0" hidden="1" customHeight="1" x14ac:dyDescent="0.25"/>
    <row r="178" ht="0" hidden="1" customHeight="1" x14ac:dyDescent="0.25"/>
    <row r="179" ht="0" hidden="1" customHeight="1" x14ac:dyDescent="0.25"/>
    <row r="180" ht="0" hidden="1" customHeight="1" x14ac:dyDescent="0.25"/>
    <row r="181" ht="0" hidden="1" customHeight="1" x14ac:dyDescent="0.25"/>
    <row r="182" ht="0" hidden="1" customHeight="1" x14ac:dyDescent="0.25"/>
    <row r="183" ht="0" hidden="1" customHeight="1" x14ac:dyDescent="0.25"/>
  </sheetData>
  <sheetProtection algorithmName="SHA-512" hashValue="brqmP5tA5W64rQJNROgYuoMgmMCzxHUrdk3H25Uv0MZIECzqk5KvMGZr6ls2aVqte9wS6iT5rfRKTwi5FVKeHA==" saltValue="FySTYUVfT2AyZ2LTDy35uA==" spinCount="100000" sheet="1" formatColumns="0" formatRows="0"/>
  <mergeCells count="8">
    <mergeCell ref="B26:C31"/>
    <mergeCell ref="B4:I10"/>
    <mergeCell ref="F12:F13"/>
    <mergeCell ref="E12:E13"/>
    <mergeCell ref="F26:G31"/>
    <mergeCell ref="H26:I31"/>
    <mergeCell ref="D12:D13"/>
    <mergeCell ref="D26:E31"/>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471"/>
  <sheetViews>
    <sheetView workbookViewId="0">
      <selection activeCell="E22" sqref="E22"/>
    </sheetView>
  </sheetViews>
  <sheetFormatPr defaultColWidth="9" defaultRowHeight="15" x14ac:dyDescent="0.25"/>
  <cols>
    <col min="1" max="1" width="7.140625" style="28" bestFit="1" customWidth="1"/>
    <col min="2" max="3" width="14.140625" style="28" customWidth="1"/>
    <col min="4" max="4" width="34.42578125" style="37" customWidth="1"/>
    <col min="5" max="5" width="37.5703125" style="28" bestFit="1" customWidth="1"/>
    <col min="6" max="6" width="21.28515625" style="28" customWidth="1"/>
    <col min="7" max="7" width="18.28515625" style="28" customWidth="1"/>
    <col min="8" max="8" width="17" style="28" customWidth="1"/>
    <col min="9" max="9" width="23.28515625" style="28" customWidth="1"/>
    <col min="10" max="11" width="23.140625" style="28" customWidth="1"/>
    <col min="12" max="12" width="18.5703125" style="28" customWidth="1"/>
    <col min="13" max="13" width="14.5703125" style="28" customWidth="1"/>
    <col min="14" max="14" width="10.42578125" style="28" customWidth="1"/>
    <col min="15" max="15" width="15.42578125" style="28" customWidth="1"/>
    <col min="16" max="16" width="23.28515625" style="28" customWidth="1"/>
    <col min="17" max="17" width="10.42578125" style="28" customWidth="1"/>
    <col min="18" max="29" width="14.85546875" style="28" customWidth="1"/>
    <col min="30" max="30" width="13" style="29" customWidth="1"/>
    <col min="31" max="31" width="12.42578125" style="33" customWidth="1"/>
    <col min="32" max="32" width="12.7109375" style="29" customWidth="1"/>
    <col min="33" max="33" width="19.5703125" style="29" customWidth="1"/>
    <col min="34" max="16384" width="9" style="28"/>
  </cols>
  <sheetData>
    <row r="1" spans="1:33" ht="14.25" customHeight="1" x14ac:dyDescent="0.25">
      <c r="A1" s="671" t="s">
        <v>121</v>
      </c>
      <c r="B1" s="669" t="s">
        <v>123</v>
      </c>
      <c r="C1" s="673" t="s">
        <v>136</v>
      </c>
      <c r="D1" s="678" t="s">
        <v>28</v>
      </c>
      <c r="E1" s="678" t="s">
        <v>29</v>
      </c>
      <c r="F1" s="678" t="s">
        <v>55</v>
      </c>
      <c r="G1" s="678" t="s">
        <v>56</v>
      </c>
      <c r="H1" s="678" t="s">
        <v>30</v>
      </c>
      <c r="I1" s="677" t="s">
        <v>22</v>
      </c>
      <c r="J1" s="677" t="s">
        <v>23</v>
      </c>
      <c r="K1" s="677" t="s">
        <v>36</v>
      </c>
      <c r="L1" s="677" t="s">
        <v>31</v>
      </c>
      <c r="M1" s="677" t="s">
        <v>9</v>
      </c>
      <c r="N1" s="677" t="s">
        <v>288</v>
      </c>
      <c r="O1" s="678" t="s">
        <v>58</v>
      </c>
      <c r="P1" s="675" t="s">
        <v>235</v>
      </c>
      <c r="Q1" s="56" t="s">
        <v>17</v>
      </c>
      <c r="R1" s="56"/>
      <c r="S1" s="56"/>
      <c r="T1" s="56"/>
      <c r="U1" s="56"/>
      <c r="V1" s="56"/>
      <c r="W1" s="56"/>
      <c r="X1" s="56"/>
      <c r="Y1" s="56"/>
      <c r="Z1" s="56"/>
      <c r="AA1" s="56"/>
      <c r="AB1" s="56"/>
      <c r="AC1" s="56"/>
      <c r="AD1" s="682" t="s">
        <v>12</v>
      </c>
      <c r="AE1" s="681" t="s">
        <v>21</v>
      </c>
      <c r="AF1" s="680" t="s">
        <v>13</v>
      </c>
      <c r="AG1" s="679" t="s">
        <v>100</v>
      </c>
    </row>
    <row r="2" spans="1:33" ht="14.25" customHeight="1" x14ac:dyDescent="0.25">
      <c r="A2" s="671"/>
      <c r="B2" s="669"/>
      <c r="C2" s="673"/>
      <c r="D2" s="678"/>
      <c r="E2" s="678"/>
      <c r="F2" s="678"/>
      <c r="G2" s="678"/>
      <c r="H2" s="678"/>
      <c r="I2" s="677"/>
      <c r="J2" s="677"/>
      <c r="K2" s="677"/>
      <c r="L2" s="677"/>
      <c r="M2" s="677"/>
      <c r="N2" s="677"/>
      <c r="O2" s="678"/>
      <c r="P2" s="675"/>
      <c r="Q2" s="12" t="s">
        <v>25</v>
      </c>
      <c r="R2" s="36" t="s">
        <v>1</v>
      </c>
      <c r="S2" s="5" t="s">
        <v>2</v>
      </c>
      <c r="T2" s="6" t="s">
        <v>90</v>
      </c>
      <c r="U2" s="7" t="s">
        <v>3</v>
      </c>
      <c r="V2" s="8" t="s">
        <v>307</v>
      </c>
      <c r="W2" s="9" t="s">
        <v>0</v>
      </c>
      <c r="X2" s="13" t="s">
        <v>46</v>
      </c>
      <c r="Y2" s="10" t="s">
        <v>48</v>
      </c>
      <c r="Z2" s="11" t="s">
        <v>16</v>
      </c>
      <c r="AA2" s="11" t="s">
        <v>16</v>
      </c>
      <c r="AB2" s="11" t="s">
        <v>16</v>
      </c>
      <c r="AC2" s="32" t="s">
        <v>16</v>
      </c>
      <c r="AD2" s="682"/>
      <c r="AE2" s="681"/>
      <c r="AF2" s="680"/>
      <c r="AG2" s="679"/>
    </row>
    <row r="3" spans="1:33" s="29" customFormat="1" ht="30.75" thickBot="1" x14ac:dyDescent="0.3">
      <c r="A3" s="672"/>
      <c r="B3" s="670"/>
      <c r="C3" s="674"/>
      <c r="D3" s="678"/>
      <c r="E3" s="678"/>
      <c r="F3" s="678"/>
      <c r="G3" s="678"/>
      <c r="H3" s="678"/>
      <c r="I3" s="677"/>
      <c r="J3" s="677"/>
      <c r="K3" s="677"/>
      <c r="L3" s="677"/>
      <c r="M3" s="677"/>
      <c r="N3" s="677"/>
      <c r="O3" s="678"/>
      <c r="P3" s="676"/>
      <c r="Q3" s="12" t="s">
        <v>26</v>
      </c>
      <c r="R3" s="36" t="s">
        <v>14</v>
      </c>
      <c r="S3" s="5" t="s">
        <v>69</v>
      </c>
      <c r="T3" s="6" t="s">
        <v>15</v>
      </c>
      <c r="U3" s="7" t="s">
        <v>15</v>
      </c>
      <c r="V3" s="8" t="s">
        <v>15</v>
      </c>
      <c r="W3" s="9" t="s">
        <v>15</v>
      </c>
      <c r="X3" s="13" t="s">
        <v>15</v>
      </c>
      <c r="Y3" s="10" t="s">
        <v>15</v>
      </c>
      <c r="Z3" s="11" t="s">
        <v>14</v>
      </c>
      <c r="AA3" s="11" t="s">
        <v>69</v>
      </c>
      <c r="AB3" s="11" t="s">
        <v>15</v>
      </c>
      <c r="AC3" s="32" t="s">
        <v>27</v>
      </c>
      <c r="AD3" s="682"/>
      <c r="AE3" s="681"/>
      <c r="AF3" s="680"/>
      <c r="AG3" s="679"/>
    </row>
    <row r="4" spans="1:33" ht="15.75" thickTop="1" x14ac:dyDescent="0.25">
      <c r="A4" s="38">
        <v>1</v>
      </c>
      <c r="B4" s="39">
        <f>IFERROR(RANK(AF4,$AF$4:$AF$470,0),"")</f>
        <v>9</v>
      </c>
      <c r="C4" s="65">
        <f t="shared" ref="C4:C15" si="0">IFERROR(RANK(AG4,$AG$4:$AG$470,1),"")</f>
        <v>1</v>
      </c>
      <c r="D4" s="79"/>
      <c r="E4" s="80"/>
      <c r="F4" s="80"/>
      <c r="G4" s="80"/>
      <c r="H4" s="81"/>
      <c r="I4" s="80" t="s">
        <v>216</v>
      </c>
      <c r="J4" s="80" t="s">
        <v>7</v>
      </c>
      <c r="K4" s="80" t="s">
        <v>62</v>
      </c>
      <c r="L4" s="80">
        <v>56</v>
      </c>
      <c r="M4" s="80" t="s">
        <v>10</v>
      </c>
      <c r="N4" s="82">
        <v>96000</v>
      </c>
      <c r="O4" s="82" t="str">
        <f>IF(N4="","",IF('Event Dataset'!N4&lt;='Drop Downs and Assumptions'!$K$2,'Drop Downs and Assumptions'!$L$2,IF(AND('Event Dataset'!N4&gt;='Drop Downs and Assumptions'!$J$3,'Event Dataset'!N4&lt;='Drop Downs and Assumptions'!$K$3),'Drop Downs and Assumptions'!$L$3,IF(AND('Event Dataset'!N4&gt;='Drop Downs and Assumptions'!$J$4,'Event Dataset'!N4&lt;='Drop Downs and Assumptions'!$K$4),'Drop Downs and Assumptions'!$L$4,IF('Event Dataset'!N4&gt;='Drop Downs and Assumptions'!$J$5,'Drop Downs and Assumptions'!$L$5,"")))))</f>
        <v>50,000+</v>
      </c>
      <c r="P4" s="83">
        <v>4</v>
      </c>
      <c r="Q4" s="84"/>
      <c r="R4" s="85">
        <v>0.6</v>
      </c>
      <c r="S4" s="86">
        <f>7.3+(6*1100/1000*VLOOKUP(S$2,'Drop Downs and Assumptions'!$A:$C,2,FALSE)/1000)</f>
        <v>7.7290000000000001</v>
      </c>
      <c r="T4" s="86">
        <v>9.4600000000000009</v>
      </c>
      <c r="U4" s="86"/>
      <c r="V4" s="86">
        <f>0.12+0.16+0.53</f>
        <v>0.81</v>
      </c>
      <c r="W4" s="86">
        <v>3.74</v>
      </c>
      <c r="X4" s="86">
        <v>8.0000000000000002E-3</v>
      </c>
      <c r="Y4" s="86"/>
      <c r="Z4" s="86"/>
      <c r="AA4" s="86"/>
      <c r="AB4" s="86"/>
      <c r="AC4" s="87"/>
      <c r="AD4" s="88">
        <f t="shared" ref="AD4:AD8" si="1">IF(SUM(R4:AC4)=0,"",SUM(R4:AC4))</f>
        <v>22.346999999999998</v>
      </c>
      <c r="AE4" s="89">
        <f t="shared" ref="AE4:AE8" si="2">IFERROR((SUMIF($R$3:$AC$3,"Recycling",$R4:$AC4)+SUMIF($R$3:$AC$3,"Reuse",$R4:$AC4)+SUMIF($R$3:$AC$3,"Alternative Fuels",$R4:$AC4))/AD4,"")</f>
        <v>0.97315075849107269</v>
      </c>
      <c r="AF4" s="90">
        <f t="shared" ref="AF4:AF8" si="3">IFERROR((SUMIF($R$3:$AC$3,"Recycling",$R4:$AC4))/AD4,"")</f>
        <v>0.62728777912023992</v>
      </c>
      <c r="AG4" s="91">
        <f t="shared" ref="AG4:AG67" si="4">IFERROR((AD4-AC4)*1000/P4/N4,"")</f>
        <v>5.8195312499999992E-2</v>
      </c>
    </row>
    <row r="5" spans="1:33" x14ac:dyDescent="0.25">
      <c r="A5" s="16">
        <f t="shared" ref="A5:A68" si="5">A4+1</f>
        <v>2</v>
      </c>
      <c r="B5" s="31">
        <f t="shared" ref="B5:B68" si="6">IFERROR(RANK(AF5,$AF$4:$AF$470,0),"")</f>
        <v>8</v>
      </c>
      <c r="C5" s="66">
        <f t="shared" si="0"/>
        <v>2</v>
      </c>
      <c r="D5" s="92"/>
      <c r="E5" s="93"/>
      <c r="F5" s="93"/>
      <c r="G5" s="93"/>
      <c r="H5" s="94"/>
      <c r="I5" s="93" t="s">
        <v>216</v>
      </c>
      <c r="J5" s="93" t="s">
        <v>7</v>
      </c>
      <c r="K5" s="93" t="s">
        <v>62</v>
      </c>
      <c r="L5" s="93">
        <v>52</v>
      </c>
      <c r="M5" s="93" t="s">
        <v>10</v>
      </c>
      <c r="N5" s="95">
        <v>96000</v>
      </c>
      <c r="O5" s="95" t="str">
        <f>IF(N5="","",IF('Event Dataset'!N5&lt;='Drop Downs and Assumptions'!$K$2,'Drop Downs and Assumptions'!$L$2,IF(AND('Event Dataset'!N5&gt;='Drop Downs and Assumptions'!$J$3,'Event Dataset'!N5&lt;='Drop Downs and Assumptions'!$K$3),'Drop Downs and Assumptions'!$L$3,IF(AND('Event Dataset'!N5&gt;='Drop Downs and Assumptions'!$J$4,'Event Dataset'!N5&lt;='Drop Downs and Assumptions'!$K$4),'Drop Downs and Assumptions'!$L$4,IF('Event Dataset'!N5&gt;='Drop Downs and Assumptions'!$J$5,'Drop Downs and Assumptions'!$L$5,"")))))</f>
        <v>50,000+</v>
      </c>
      <c r="P5" s="96">
        <v>4</v>
      </c>
      <c r="Q5" s="97"/>
      <c r="R5" s="98">
        <v>1.38</v>
      </c>
      <c r="S5" s="99">
        <v>7.34</v>
      </c>
      <c r="T5" s="99">
        <v>9.1999999999999993</v>
      </c>
      <c r="U5" s="99"/>
      <c r="V5" s="99">
        <f>1.92+1.08+0.22</f>
        <v>3.22</v>
      </c>
      <c r="W5" s="99">
        <v>3.44</v>
      </c>
      <c r="X5" s="99">
        <v>0.06</v>
      </c>
      <c r="Y5" s="99"/>
      <c r="Z5" s="99"/>
      <c r="AA5" s="99"/>
      <c r="AB5" s="99">
        <v>0.32</v>
      </c>
      <c r="AC5" s="100"/>
      <c r="AD5" s="101">
        <f t="shared" si="1"/>
        <v>24.959999999999997</v>
      </c>
      <c r="AE5" s="102">
        <f t="shared" si="2"/>
        <v>0.94471153846153855</v>
      </c>
      <c r="AF5" s="103">
        <f t="shared" si="3"/>
        <v>0.65064102564102566</v>
      </c>
      <c r="AG5" s="104">
        <f t="shared" si="4"/>
        <v>6.4999999999999988E-2</v>
      </c>
    </row>
    <row r="6" spans="1:33" x14ac:dyDescent="0.25">
      <c r="A6" s="4">
        <f t="shared" si="5"/>
        <v>3</v>
      </c>
      <c r="B6" s="30">
        <f t="shared" si="6"/>
        <v>6</v>
      </c>
      <c r="C6" s="67">
        <f t="shared" si="0"/>
        <v>7</v>
      </c>
      <c r="D6" s="105"/>
      <c r="E6" s="106"/>
      <c r="F6" s="106"/>
      <c r="G6" s="106"/>
      <c r="H6" s="107"/>
      <c r="I6" s="106" t="s">
        <v>216</v>
      </c>
      <c r="J6" s="106" t="s">
        <v>7</v>
      </c>
      <c r="K6" s="106" t="s">
        <v>62</v>
      </c>
      <c r="L6" s="106">
        <v>57</v>
      </c>
      <c r="M6" s="106" t="s">
        <v>10</v>
      </c>
      <c r="N6" s="108">
        <v>90000</v>
      </c>
      <c r="O6" s="108" t="str">
        <f>IF(N6="","",IF('Event Dataset'!N6&lt;='Drop Downs and Assumptions'!$K$2,'Drop Downs and Assumptions'!$L$2,IF(AND('Event Dataset'!N6&gt;='Drop Downs and Assumptions'!$J$3,'Event Dataset'!N6&lt;='Drop Downs and Assumptions'!$K$3),'Drop Downs and Assumptions'!$L$3,IF(AND('Event Dataset'!N6&gt;='Drop Downs and Assumptions'!$J$4,'Event Dataset'!N6&lt;='Drop Downs and Assumptions'!$K$4),'Drop Downs and Assumptions'!$L$4,IF('Event Dataset'!N6&gt;='Drop Downs and Assumptions'!$J$5,'Drop Downs and Assumptions'!$L$5,"")))))</f>
        <v>50,000+</v>
      </c>
      <c r="P6" s="109">
        <v>4</v>
      </c>
      <c r="Q6" s="97"/>
      <c r="R6" s="110">
        <v>0.504</v>
      </c>
      <c r="S6" s="111">
        <v>12.98</v>
      </c>
      <c r="T6" s="111">
        <v>25.59</v>
      </c>
      <c r="U6" s="111"/>
      <c r="V6" s="111">
        <f>5.79+0.66</f>
        <v>6.45</v>
      </c>
      <c r="W6" s="111">
        <v>5.62</v>
      </c>
      <c r="X6" s="111"/>
      <c r="Y6" s="111">
        <v>0.16</v>
      </c>
      <c r="Z6" s="111"/>
      <c r="AA6" s="111"/>
      <c r="AB6" s="111">
        <v>0.12</v>
      </c>
      <c r="AC6" s="112"/>
      <c r="AD6" s="113">
        <f t="shared" si="1"/>
        <v>51.423999999999992</v>
      </c>
      <c r="AE6" s="114">
        <f t="shared" si="2"/>
        <v>0.99019912881144978</v>
      </c>
      <c r="AF6" s="115">
        <f t="shared" si="3"/>
        <v>0.73778780336029859</v>
      </c>
      <c r="AG6" s="116">
        <f t="shared" si="4"/>
        <v>0.14284444444444441</v>
      </c>
    </row>
    <row r="7" spans="1:33" x14ac:dyDescent="0.25">
      <c r="A7" s="16">
        <f t="shared" si="5"/>
        <v>4</v>
      </c>
      <c r="B7" s="31">
        <f t="shared" si="6"/>
        <v>2</v>
      </c>
      <c r="C7" s="66">
        <f t="shared" si="0"/>
        <v>4</v>
      </c>
      <c r="D7" s="92"/>
      <c r="E7" s="93"/>
      <c r="F7" s="93"/>
      <c r="G7" s="93"/>
      <c r="H7" s="94"/>
      <c r="I7" s="93" t="s">
        <v>216</v>
      </c>
      <c r="J7" s="93" t="s">
        <v>7</v>
      </c>
      <c r="K7" s="93" t="s">
        <v>62</v>
      </c>
      <c r="L7" s="93">
        <v>54</v>
      </c>
      <c r="M7" s="93" t="s">
        <v>10</v>
      </c>
      <c r="N7" s="95">
        <v>95000</v>
      </c>
      <c r="O7" s="95" t="str">
        <f>IF(N7="","",IF('Event Dataset'!N7&lt;='Drop Downs and Assumptions'!$K$2,'Drop Downs and Assumptions'!$L$2,IF(AND('Event Dataset'!N7&gt;='Drop Downs and Assumptions'!$J$3,'Event Dataset'!N7&lt;='Drop Downs and Assumptions'!$K$3),'Drop Downs and Assumptions'!$L$3,IF(AND('Event Dataset'!N7&gt;='Drop Downs and Assumptions'!$J$4,'Event Dataset'!N7&lt;='Drop Downs and Assumptions'!$K$4),'Drop Downs and Assumptions'!$L$4,IF('Event Dataset'!N7&gt;='Drop Downs and Assumptions'!$J$5,'Drop Downs and Assumptions'!$L$5,"")))))</f>
        <v>50,000+</v>
      </c>
      <c r="P7" s="96">
        <v>4</v>
      </c>
      <c r="Q7" s="97"/>
      <c r="R7" s="98">
        <v>0.64</v>
      </c>
      <c r="S7" s="99">
        <v>3.34</v>
      </c>
      <c r="T7" s="99">
        <v>16.64</v>
      </c>
      <c r="U7" s="99"/>
      <c r="V7" s="99">
        <f>6.8+1.18</f>
        <v>7.9799999999999995</v>
      </c>
      <c r="W7" s="99">
        <v>6.58</v>
      </c>
      <c r="X7" s="99"/>
      <c r="Y7" s="99">
        <v>1.2E-2</v>
      </c>
      <c r="Z7" s="99"/>
      <c r="AA7" s="99"/>
      <c r="AB7" s="99">
        <v>1.2E-2</v>
      </c>
      <c r="AC7" s="100"/>
      <c r="AD7" s="101">
        <f t="shared" si="1"/>
        <v>35.204000000000001</v>
      </c>
      <c r="AE7" s="102">
        <f t="shared" si="2"/>
        <v>0.98182024769912524</v>
      </c>
      <c r="AF7" s="103">
        <f t="shared" si="3"/>
        <v>0.88694466537893435</v>
      </c>
      <c r="AG7" s="104">
        <f t="shared" si="4"/>
        <v>9.2642105263157901E-2</v>
      </c>
    </row>
    <row r="8" spans="1:33" x14ac:dyDescent="0.25">
      <c r="A8" s="4">
        <f t="shared" si="5"/>
        <v>5</v>
      </c>
      <c r="B8" s="30">
        <f t="shared" si="6"/>
        <v>1</v>
      </c>
      <c r="C8" s="67">
        <f t="shared" si="0"/>
        <v>3</v>
      </c>
      <c r="D8" s="105"/>
      <c r="E8" s="106"/>
      <c r="F8" s="106"/>
      <c r="G8" s="106"/>
      <c r="H8" s="107"/>
      <c r="I8" s="106" t="s">
        <v>216</v>
      </c>
      <c r="J8" s="106" t="s">
        <v>7</v>
      </c>
      <c r="K8" s="106" t="s">
        <v>62</v>
      </c>
      <c r="L8" s="106">
        <v>46</v>
      </c>
      <c r="M8" s="106" t="s">
        <v>10</v>
      </c>
      <c r="N8" s="108">
        <v>95000</v>
      </c>
      <c r="O8" s="108" t="str">
        <f>IF(N8="","",IF('Event Dataset'!N8&lt;='Drop Downs and Assumptions'!$K$2,'Drop Downs and Assumptions'!$L$2,IF(AND('Event Dataset'!N8&gt;='Drop Downs and Assumptions'!$J$3,'Event Dataset'!N8&lt;='Drop Downs and Assumptions'!$K$3),'Drop Downs and Assumptions'!$L$3,IF(AND('Event Dataset'!N8&gt;='Drop Downs and Assumptions'!$J$4,'Event Dataset'!N8&lt;='Drop Downs and Assumptions'!$K$4),'Drop Downs and Assumptions'!$L$4,IF('Event Dataset'!N8&gt;='Drop Downs and Assumptions'!$J$5,'Drop Downs and Assumptions'!$L$5,"")))))</f>
        <v>50,000+</v>
      </c>
      <c r="P8" s="109">
        <v>4</v>
      </c>
      <c r="Q8" s="97"/>
      <c r="R8" s="110">
        <v>0.6</v>
      </c>
      <c r="S8" s="111">
        <v>2.48</v>
      </c>
      <c r="T8" s="111">
        <v>11.34</v>
      </c>
      <c r="U8" s="111"/>
      <c r="V8" s="111">
        <f>0.72+8</f>
        <v>8.7200000000000006</v>
      </c>
      <c r="W8" s="111">
        <v>8.56</v>
      </c>
      <c r="X8" s="111"/>
      <c r="Y8" s="111"/>
      <c r="Z8" s="111"/>
      <c r="AA8" s="111"/>
      <c r="AB8" s="111"/>
      <c r="AC8" s="112"/>
      <c r="AD8" s="113">
        <f t="shared" si="1"/>
        <v>31.700000000000003</v>
      </c>
      <c r="AE8" s="114">
        <f t="shared" si="2"/>
        <v>0.98107255520504744</v>
      </c>
      <c r="AF8" s="115">
        <f t="shared" si="3"/>
        <v>0.902839116719243</v>
      </c>
      <c r="AG8" s="116">
        <f t="shared" si="4"/>
        <v>8.3421052631578951E-2</v>
      </c>
    </row>
    <row r="9" spans="1:33" x14ac:dyDescent="0.25">
      <c r="A9" s="16">
        <f t="shared" si="5"/>
        <v>6</v>
      </c>
      <c r="B9" s="31">
        <f t="shared" si="6"/>
        <v>10</v>
      </c>
      <c r="C9" s="66">
        <f t="shared" si="0"/>
        <v>8</v>
      </c>
      <c r="D9" s="92"/>
      <c r="E9" s="93"/>
      <c r="F9" s="93"/>
      <c r="G9" s="93"/>
      <c r="H9" s="94"/>
      <c r="I9" s="93"/>
      <c r="J9" s="93" t="s">
        <v>7</v>
      </c>
      <c r="K9" s="93" t="s">
        <v>62</v>
      </c>
      <c r="L9" s="93"/>
      <c r="M9" s="93"/>
      <c r="N9" s="95">
        <v>7000</v>
      </c>
      <c r="O9" s="95" t="str">
        <f>IF(N9="","",IF('Event Dataset'!N9&lt;='Drop Downs and Assumptions'!$K$2,'Drop Downs and Assumptions'!$L$2,IF(AND('Event Dataset'!N9&gt;='Drop Downs and Assumptions'!$J$3,'Event Dataset'!N9&lt;='Drop Downs and Assumptions'!$K$3),'Drop Downs and Assumptions'!$L$3,IF(AND('Event Dataset'!N9&gt;='Drop Downs and Assumptions'!$J$4,'Event Dataset'!N9&lt;='Drop Downs and Assumptions'!$K$4),'Drop Downs and Assumptions'!$L$4,IF('Event Dataset'!N9&gt;='Drop Downs and Assumptions'!$J$5,'Drop Downs and Assumptions'!$L$5,"")))))</f>
        <v>3,000-10,000</v>
      </c>
      <c r="P9" s="96">
        <v>1</v>
      </c>
      <c r="Q9" s="97"/>
      <c r="R9" s="98">
        <f>14.28*0.6*VLOOKUP(R$2,'Drop Downs and Assumptions'!$A:$C,2,FALSE)/1000</f>
        <v>0.68543999999999994</v>
      </c>
      <c r="S9" s="99"/>
      <c r="T9" s="99"/>
      <c r="U9" s="99">
        <f>14.28*0.36*VLOOKUP(U$2,'Drop Downs and Assumptions'!A:C,2,FALSE)/1000</f>
        <v>0.334152</v>
      </c>
      <c r="V9" s="99"/>
      <c r="W9" s="99"/>
      <c r="X9" s="99"/>
      <c r="Y9" s="99"/>
      <c r="Z9" s="99"/>
      <c r="AA9" s="99"/>
      <c r="AB9" s="99"/>
      <c r="AC9" s="100"/>
      <c r="AD9" s="101">
        <f t="shared" ref="AD9:AD15" si="7">IF(SUM(R9:AC9)=0,"",SUM(R9:AC9))</f>
        <v>1.0195919999999998</v>
      </c>
      <c r="AE9" s="102">
        <f t="shared" ref="AE9:AE15" si="8">IFERROR((SUMIF($R$3:$AC$3,"Recycling",$R9:$AC9)+SUMIF($R$3:$AC$3,"Reuse",$R9:$AC9)+SUMIF($R$3:$AC$3,"Alternative Fuels",$R9:$AC9))/AD9,"")</f>
        <v>0.32773109243697485</v>
      </c>
      <c r="AF9" s="103">
        <f t="shared" ref="AF9:AF15" si="9">IFERROR((SUMIF($R$3:$AC$3,"Recycling",$R9:$AC9))/AD9,"")</f>
        <v>0.32773109243697485</v>
      </c>
      <c r="AG9" s="104">
        <f t="shared" si="4"/>
        <v>0.14565599999999998</v>
      </c>
    </row>
    <row r="10" spans="1:33" x14ac:dyDescent="0.25">
      <c r="A10" s="4">
        <f t="shared" si="5"/>
        <v>7</v>
      </c>
      <c r="B10" s="30">
        <f t="shared" si="6"/>
        <v>4</v>
      </c>
      <c r="C10" s="67">
        <f t="shared" si="0"/>
        <v>10</v>
      </c>
      <c r="D10" s="105"/>
      <c r="E10" s="106"/>
      <c r="F10" s="106"/>
      <c r="G10" s="106"/>
      <c r="H10" s="107"/>
      <c r="I10" s="106"/>
      <c r="J10" s="106" t="s">
        <v>7</v>
      </c>
      <c r="K10" s="106" t="s">
        <v>62</v>
      </c>
      <c r="L10" s="106"/>
      <c r="M10" s="106"/>
      <c r="N10" s="108">
        <v>7000</v>
      </c>
      <c r="O10" s="108" t="str">
        <f>IF(N10="","",IF('Event Dataset'!N10&lt;='Drop Downs and Assumptions'!$K$2,'Drop Downs and Assumptions'!$L$2,IF(AND('Event Dataset'!N10&gt;='Drop Downs and Assumptions'!$J$3,'Event Dataset'!N10&lt;='Drop Downs and Assumptions'!$K$3),'Drop Downs and Assumptions'!$L$3,IF(AND('Event Dataset'!N10&gt;='Drop Downs and Assumptions'!$J$4,'Event Dataset'!N10&lt;='Drop Downs and Assumptions'!$K$4),'Drop Downs and Assumptions'!$L$4,IF('Event Dataset'!N10&gt;='Drop Downs and Assumptions'!$J$5,'Drop Downs and Assumptions'!$L$5,"")))))</f>
        <v>3,000-10,000</v>
      </c>
      <c r="P10" s="109">
        <v>1</v>
      </c>
      <c r="Q10" s="97"/>
      <c r="R10" s="110">
        <f>22.1*0.27*VLOOKUP(R$2,'Drop Downs and Assumptions'!$A:$C,2,FALSE)/1000</f>
        <v>0.47736000000000001</v>
      </c>
      <c r="S10" s="111"/>
      <c r="T10" s="111">
        <f>22.1*0.24*VLOOKUP(T$2,'Drop Downs and Assumptions'!$A:$C,2,FALSE)/1000</f>
        <v>1.0608</v>
      </c>
      <c r="U10" s="111">
        <f>22.1*0.46*VLOOKUP(U$2,'Drop Downs and Assumptions'!A:C,2,FALSE)/1000</f>
        <v>0.6607900000000001</v>
      </c>
      <c r="V10" s="111"/>
      <c r="W10" s="111"/>
      <c r="X10" s="111"/>
      <c r="Y10" s="111"/>
      <c r="Z10" s="111"/>
      <c r="AA10" s="111"/>
      <c r="AB10" s="111"/>
      <c r="AC10" s="112"/>
      <c r="AD10" s="113">
        <f t="shared" si="7"/>
        <v>2.19895</v>
      </c>
      <c r="AE10" s="114">
        <f t="shared" si="8"/>
        <v>0.78291457286432165</v>
      </c>
      <c r="AF10" s="115">
        <f t="shared" si="9"/>
        <v>0.78291457286432165</v>
      </c>
      <c r="AG10" s="116">
        <f t="shared" si="4"/>
        <v>0.31413571428571424</v>
      </c>
    </row>
    <row r="11" spans="1:33" x14ac:dyDescent="0.25">
      <c r="A11" s="16">
        <f t="shared" si="5"/>
        <v>8</v>
      </c>
      <c r="B11" s="31">
        <f t="shared" si="6"/>
        <v>5</v>
      </c>
      <c r="C11" s="66">
        <f t="shared" si="0"/>
        <v>6</v>
      </c>
      <c r="D11" s="92"/>
      <c r="E11" s="93"/>
      <c r="F11" s="93"/>
      <c r="G11" s="93"/>
      <c r="H11" s="94"/>
      <c r="I11" s="93" t="s">
        <v>20</v>
      </c>
      <c r="J11" s="93" t="s">
        <v>7</v>
      </c>
      <c r="K11" s="93" t="s">
        <v>61</v>
      </c>
      <c r="L11" s="93"/>
      <c r="M11" s="93" t="s">
        <v>10</v>
      </c>
      <c r="N11" s="95">
        <v>20000</v>
      </c>
      <c r="O11" s="95" t="str">
        <f>IF(N11="","",IF('Event Dataset'!N11&lt;='Drop Downs and Assumptions'!$K$2,'Drop Downs and Assumptions'!$L$2,IF(AND('Event Dataset'!N11&gt;='Drop Downs and Assumptions'!$J$3,'Event Dataset'!N11&lt;='Drop Downs and Assumptions'!$K$3),'Drop Downs and Assumptions'!$L$3,IF(AND('Event Dataset'!N11&gt;='Drop Downs and Assumptions'!$J$4,'Event Dataset'!N11&lt;='Drop Downs and Assumptions'!$K$4),'Drop Downs and Assumptions'!$L$4,IF('Event Dataset'!N11&gt;='Drop Downs and Assumptions'!$J$5,'Drop Downs and Assumptions'!$L$5,"")))))</f>
        <v>10,000-50,000</v>
      </c>
      <c r="P11" s="96">
        <v>1</v>
      </c>
      <c r="Q11" s="97"/>
      <c r="R11" s="159">
        <v>0.64</v>
      </c>
      <c r="S11" s="160"/>
      <c r="T11" s="160">
        <v>2</v>
      </c>
      <c r="U11" s="160"/>
      <c r="V11" s="160">
        <v>0.04</v>
      </c>
      <c r="W11" s="160"/>
      <c r="X11" s="160"/>
      <c r="Y11" s="160"/>
      <c r="Z11" s="160"/>
      <c r="AA11" s="160"/>
      <c r="AB11" s="160"/>
      <c r="AC11" s="161"/>
      <c r="AD11" s="101">
        <f t="shared" si="7"/>
        <v>2.68</v>
      </c>
      <c r="AE11" s="102">
        <f t="shared" si="8"/>
        <v>0.76119402985074625</v>
      </c>
      <c r="AF11" s="103">
        <f t="shared" si="9"/>
        <v>0.76119402985074625</v>
      </c>
      <c r="AG11" s="104">
        <f t="shared" si="4"/>
        <v>0.13400000000000001</v>
      </c>
    </row>
    <row r="12" spans="1:33" x14ac:dyDescent="0.25">
      <c r="A12" s="4">
        <f t="shared" si="5"/>
        <v>9</v>
      </c>
      <c r="B12" s="30">
        <f t="shared" si="6"/>
        <v>3</v>
      </c>
      <c r="C12" s="67">
        <f t="shared" si="0"/>
        <v>11</v>
      </c>
      <c r="D12" s="105"/>
      <c r="E12" s="106"/>
      <c r="F12" s="106"/>
      <c r="G12" s="106"/>
      <c r="H12" s="107"/>
      <c r="I12" s="106" t="s">
        <v>20</v>
      </c>
      <c r="J12" s="106" t="s">
        <v>7</v>
      </c>
      <c r="K12" s="162" t="s">
        <v>62</v>
      </c>
      <c r="L12" s="106"/>
      <c r="M12" s="106" t="s">
        <v>10</v>
      </c>
      <c r="N12" s="108">
        <v>2000</v>
      </c>
      <c r="O12" s="108" t="str">
        <f>IF(N12="","",IF('Event Dataset'!N12&lt;='Drop Downs and Assumptions'!$K$2,'Drop Downs and Assumptions'!$L$2,IF(AND('Event Dataset'!N12&gt;='Drop Downs and Assumptions'!$J$3,'Event Dataset'!N12&lt;='Drop Downs and Assumptions'!$K$3),'Drop Downs and Assumptions'!$L$3,IF(AND('Event Dataset'!N12&gt;='Drop Downs and Assumptions'!$J$4,'Event Dataset'!N12&lt;='Drop Downs and Assumptions'!$K$4),'Drop Downs and Assumptions'!$L$4,IF('Event Dataset'!N12&gt;='Drop Downs and Assumptions'!$J$5,'Drop Downs and Assumptions'!$L$5,"")))))</f>
        <v>0-3,000</v>
      </c>
      <c r="P12" s="109">
        <v>3</v>
      </c>
      <c r="Q12" s="97"/>
      <c r="R12" s="110">
        <v>0.74</v>
      </c>
      <c r="S12" s="111"/>
      <c r="T12" s="111">
        <v>2</v>
      </c>
      <c r="U12" s="111">
        <v>0.84</v>
      </c>
      <c r="V12" s="111"/>
      <c r="W12" s="111"/>
      <c r="X12" s="111"/>
      <c r="Y12" s="111"/>
      <c r="Z12" s="111"/>
      <c r="AA12" s="111"/>
      <c r="AB12" s="111"/>
      <c r="AC12" s="112"/>
      <c r="AD12" s="113">
        <f t="shared" si="7"/>
        <v>3.58</v>
      </c>
      <c r="AE12" s="114">
        <f t="shared" si="8"/>
        <v>0.7932960893854748</v>
      </c>
      <c r="AF12" s="115">
        <f t="shared" si="9"/>
        <v>0.7932960893854748</v>
      </c>
      <c r="AG12" s="116">
        <f t="shared" si="4"/>
        <v>0.59666666666666668</v>
      </c>
    </row>
    <row r="13" spans="1:33" x14ac:dyDescent="0.25">
      <c r="A13" s="16">
        <f t="shared" si="5"/>
        <v>10</v>
      </c>
      <c r="B13" s="31">
        <f t="shared" si="6"/>
        <v>11</v>
      </c>
      <c r="C13" s="66">
        <f t="shared" si="0"/>
        <v>9</v>
      </c>
      <c r="D13" s="92"/>
      <c r="E13" s="93"/>
      <c r="F13" s="93"/>
      <c r="G13" s="93"/>
      <c r="H13" s="94"/>
      <c r="I13" s="93" t="s">
        <v>32</v>
      </c>
      <c r="J13" s="93" t="s">
        <v>7</v>
      </c>
      <c r="K13" s="162" t="s">
        <v>62</v>
      </c>
      <c r="L13" s="93"/>
      <c r="M13" s="93"/>
      <c r="N13" s="95">
        <v>13000</v>
      </c>
      <c r="O13" s="95" t="str">
        <f>IF(N13="","",IF('Event Dataset'!N13&lt;='Drop Downs and Assumptions'!$K$2,'Drop Downs and Assumptions'!$L$2,IF(AND('Event Dataset'!N13&gt;='Drop Downs and Assumptions'!$J$3,'Event Dataset'!N13&lt;='Drop Downs and Assumptions'!$K$3),'Drop Downs and Assumptions'!$L$3,IF(AND('Event Dataset'!N13&gt;='Drop Downs and Assumptions'!$J$4,'Event Dataset'!N13&lt;='Drop Downs and Assumptions'!$K$4),'Drop Downs and Assumptions'!$L$4,IF('Event Dataset'!N13&gt;='Drop Downs and Assumptions'!$J$5,'Drop Downs and Assumptions'!$L$5,"")))))</f>
        <v>10,000-50,000</v>
      </c>
      <c r="P13" s="96">
        <v>1</v>
      </c>
      <c r="Q13" s="97"/>
      <c r="R13" s="98">
        <v>0.14000000000000001</v>
      </c>
      <c r="S13" s="99">
        <v>2.5499999999999998</v>
      </c>
      <c r="T13" s="99"/>
      <c r="U13" s="99"/>
      <c r="V13" s="99">
        <v>1.3</v>
      </c>
      <c r="W13" s="99"/>
      <c r="X13" s="99"/>
      <c r="Y13" s="99"/>
      <c r="Z13" s="99"/>
      <c r="AA13" s="99"/>
      <c r="AB13" s="99"/>
      <c r="AC13" s="100"/>
      <c r="AD13" s="101">
        <f t="shared" si="7"/>
        <v>3.99</v>
      </c>
      <c r="AE13" s="102">
        <f t="shared" si="8"/>
        <v>0.96491228070175428</v>
      </c>
      <c r="AF13" s="103">
        <f t="shared" si="9"/>
        <v>0.32581453634085211</v>
      </c>
      <c r="AG13" s="104">
        <f t="shared" si="4"/>
        <v>0.30692307692307691</v>
      </c>
    </row>
    <row r="14" spans="1:33" x14ac:dyDescent="0.25">
      <c r="A14" s="4">
        <f t="shared" si="5"/>
        <v>11</v>
      </c>
      <c r="B14" s="30">
        <f t="shared" si="6"/>
        <v>7</v>
      </c>
      <c r="C14" s="67">
        <f t="shared" si="0"/>
        <v>5</v>
      </c>
      <c r="D14" s="105"/>
      <c r="E14" s="106"/>
      <c r="F14" s="106"/>
      <c r="G14" s="106"/>
      <c r="H14" s="107"/>
      <c r="I14" s="106" t="s">
        <v>33</v>
      </c>
      <c r="J14" s="106" t="s">
        <v>7</v>
      </c>
      <c r="K14" s="106" t="s">
        <v>62</v>
      </c>
      <c r="L14" s="106"/>
      <c r="M14" s="106" t="s">
        <v>8</v>
      </c>
      <c r="N14" s="108">
        <v>65000</v>
      </c>
      <c r="O14" s="108" t="str">
        <f>IF(N14="","",IF('Event Dataset'!N14&lt;='Drop Downs and Assumptions'!$K$2,'Drop Downs and Assumptions'!$L$2,IF(AND('Event Dataset'!N14&gt;='Drop Downs and Assumptions'!$J$3,'Event Dataset'!N14&lt;='Drop Downs and Assumptions'!$K$3),'Drop Downs and Assumptions'!$L$3,IF(AND('Event Dataset'!N14&gt;='Drop Downs and Assumptions'!$J$4,'Event Dataset'!N14&lt;='Drop Downs and Assumptions'!$K$4),'Drop Downs and Assumptions'!$L$4,IF('Event Dataset'!N14&gt;='Drop Downs and Assumptions'!$J$5,'Drop Downs and Assumptions'!$L$5,"")))))</f>
        <v>50,000+</v>
      </c>
      <c r="P14" s="109">
        <v>3</v>
      </c>
      <c r="Q14" s="97"/>
      <c r="R14" s="110">
        <v>6.46</v>
      </c>
      <c r="S14" s="111"/>
      <c r="T14" s="111">
        <v>6.96</v>
      </c>
      <c r="U14" s="111">
        <v>0.53</v>
      </c>
      <c r="V14" s="111">
        <v>3.37</v>
      </c>
      <c r="W14" s="111">
        <v>1.25</v>
      </c>
      <c r="X14" s="111"/>
      <c r="Y14" s="111"/>
      <c r="Z14" s="111"/>
      <c r="AA14" s="111"/>
      <c r="AB14" s="111"/>
      <c r="AC14" s="112"/>
      <c r="AD14" s="113">
        <f t="shared" si="7"/>
        <v>18.57</v>
      </c>
      <c r="AE14" s="114">
        <f t="shared" si="8"/>
        <v>0.65212708669897679</v>
      </c>
      <c r="AF14" s="115">
        <f t="shared" si="9"/>
        <v>0.65212708669897679</v>
      </c>
      <c r="AG14" s="116">
        <f t="shared" si="4"/>
        <v>9.523076923076923E-2</v>
      </c>
    </row>
    <row r="15" spans="1:33" x14ac:dyDescent="0.25">
      <c r="A15" s="16">
        <f t="shared" si="5"/>
        <v>12</v>
      </c>
      <c r="B15" s="31" t="str">
        <f t="shared" si="6"/>
        <v/>
      </c>
      <c r="C15" s="66" t="str">
        <f t="shared" si="0"/>
        <v/>
      </c>
      <c r="D15" s="92"/>
      <c r="E15" s="93"/>
      <c r="F15" s="93"/>
      <c r="G15" s="93"/>
      <c r="H15" s="94"/>
      <c r="I15" s="93"/>
      <c r="J15" s="93"/>
      <c r="K15" s="93"/>
      <c r="L15" s="93"/>
      <c r="M15" s="93"/>
      <c r="N15" s="95"/>
      <c r="O15" s="95" t="str">
        <f>IF(N15="","",IF('Event Dataset'!N15&lt;='Drop Downs and Assumptions'!$K$2,'Drop Downs and Assumptions'!$L$2,IF(AND('Event Dataset'!N15&gt;='Drop Downs and Assumptions'!$J$3,'Event Dataset'!N15&lt;='Drop Downs and Assumptions'!$K$3),'Drop Downs and Assumptions'!$L$3,IF(AND('Event Dataset'!N15&gt;='Drop Downs and Assumptions'!$J$4,'Event Dataset'!N15&lt;='Drop Downs and Assumptions'!$K$4),'Drop Downs and Assumptions'!$L$4,IF('Event Dataset'!N15&gt;='Drop Downs and Assumptions'!$J$5,'Drop Downs and Assumptions'!$L$5,"")))))</f>
        <v/>
      </c>
      <c r="P15" s="96"/>
      <c r="Q15" s="97"/>
      <c r="R15" s="98"/>
      <c r="S15" s="99"/>
      <c r="T15" s="99"/>
      <c r="U15" s="99"/>
      <c r="V15" s="99"/>
      <c r="W15" s="99"/>
      <c r="X15" s="99"/>
      <c r="Y15" s="99"/>
      <c r="Z15" s="99"/>
      <c r="AA15" s="99"/>
      <c r="AB15" s="99"/>
      <c r="AC15" s="100"/>
      <c r="AD15" s="101" t="str">
        <f t="shared" si="7"/>
        <v/>
      </c>
      <c r="AE15" s="102" t="str">
        <f t="shared" si="8"/>
        <v/>
      </c>
      <c r="AF15" s="103" t="str">
        <f t="shared" si="9"/>
        <v/>
      </c>
      <c r="AG15" s="104" t="str">
        <f t="shared" si="4"/>
        <v/>
      </c>
    </row>
    <row r="16" spans="1:33" x14ac:dyDescent="0.25">
      <c r="A16" s="4">
        <f t="shared" si="5"/>
        <v>13</v>
      </c>
      <c r="B16" s="30" t="str">
        <f t="shared" si="6"/>
        <v/>
      </c>
      <c r="C16" s="67" t="str">
        <f t="shared" ref="C16:C47" si="10">IFERROR(RANK(AG16,$AG$4:$AG$470,1),"")</f>
        <v/>
      </c>
      <c r="D16" s="105"/>
      <c r="E16" s="106"/>
      <c r="F16" s="106"/>
      <c r="G16" s="106"/>
      <c r="H16" s="107"/>
      <c r="I16" s="106"/>
      <c r="J16" s="106"/>
      <c r="K16" s="106"/>
      <c r="L16" s="106"/>
      <c r="M16" s="106"/>
      <c r="N16" s="108"/>
      <c r="O16" s="108" t="str">
        <f>IF(N16="","",IF('Event Dataset'!N16&lt;='Drop Downs and Assumptions'!$K$2,'Drop Downs and Assumptions'!$L$2,IF(AND('Event Dataset'!N16&gt;='Drop Downs and Assumptions'!$J$3,'Event Dataset'!N16&lt;='Drop Downs and Assumptions'!$K$3),'Drop Downs and Assumptions'!$L$3,IF(AND('Event Dataset'!N16&gt;='Drop Downs and Assumptions'!$J$4,'Event Dataset'!N16&lt;='Drop Downs and Assumptions'!$K$4),'Drop Downs and Assumptions'!$L$4,IF('Event Dataset'!N16&gt;='Drop Downs and Assumptions'!$J$5,'Drop Downs and Assumptions'!$L$5,"")))))</f>
        <v/>
      </c>
      <c r="P16" s="109"/>
      <c r="Q16" s="97"/>
      <c r="R16" s="110"/>
      <c r="S16" s="111"/>
      <c r="T16" s="111"/>
      <c r="U16" s="111"/>
      <c r="V16" s="111"/>
      <c r="W16" s="111"/>
      <c r="X16" s="111"/>
      <c r="Y16" s="111"/>
      <c r="Z16" s="111"/>
      <c r="AA16" s="111"/>
      <c r="AB16" s="111"/>
      <c r="AC16" s="112"/>
      <c r="AD16" s="113" t="str">
        <f t="shared" ref="AD16:AD47" si="11">IF(SUM(R16:AC16)=0,"",SUM(R16:AC16))</f>
        <v/>
      </c>
      <c r="AE16" s="114" t="str">
        <f t="shared" ref="AE16:AE47" si="12">IFERROR((SUMIF($R$3:$AC$3,"Recycling",$R16:$AC16)+SUMIF($R$3:$AC$3,"Reuse",$R16:$AC16)+SUMIF($R$3:$AC$3,"Alternative Fuels",$R16:$AC16))/AD16,"")</f>
        <v/>
      </c>
      <c r="AF16" s="115" t="str">
        <f t="shared" ref="AF16:AF47" si="13">IFERROR((SUMIF($R$3:$AC$3,"Recycling",$R16:$AC16))/AD16,"")</f>
        <v/>
      </c>
      <c r="AG16" s="116" t="str">
        <f t="shared" si="4"/>
        <v/>
      </c>
    </row>
    <row r="17" spans="1:33" x14ac:dyDescent="0.25">
      <c r="A17" s="16">
        <f t="shared" si="5"/>
        <v>14</v>
      </c>
      <c r="B17" s="31" t="str">
        <f t="shared" si="6"/>
        <v/>
      </c>
      <c r="C17" s="66" t="str">
        <f t="shared" si="10"/>
        <v/>
      </c>
      <c r="D17" s="92"/>
      <c r="E17" s="93"/>
      <c r="F17" s="93"/>
      <c r="G17" s="93"/>
      <c r="H17" s="94"/>
      <c r="I17" s="93"/>
      <c r="J17" s="93"/>
      <c r="K17" s="93"/>
      <c r="L17" s="93"/>
      <c r="M17" s="93"/>
      <c r="N17" s="95"/>
      <c r="O17" s="95" t="str">
        <f>IF(N17="","",IF('Event Dataset'!N17&lt;='Drop Downs and Assumptions'!$K$2,'Drop Downs and Assumptions'!$L$2,IF(AND('Event Dataset'!N17&gt;='Drop Downs and Assumptions'!$J$3,'Event Dataset'!N17&lt;='Drop Downs and Assumptions'!$K$3),'Drop Downs and Assumptions'!$L$3,IF(AND('Event Dataset'!N17&gt;='Drop Downs and Assumptions'!$J$4,'Event Dataset'!N17&lt;='Drop Downs and Assumptions'!$K$4),'Drop Downs and Assumptions'!$L$4,IF('Event Dataset'!N17&gt;='Drop Downs and Assumptions'!$J$5,'Drop Downs and Assumptions'!$L$5,"")))))</f>
        <v/>
      </c>
      <c r="P17" s="96"/>
      <c r="Q17" s="97"/>
      <c r="R17" s="98"/>
      <c r="S17" s="99"/>
      <c r="T17" s="99"/>
      <c r="U17" s="99"/>
      <c r="V17" s="99"/>
      <c r="W17" s="99"/>
      <c r="X17" s="99"/>
      <c r="Y17" s="99"/>
      <c r="Z17" s="99"/>
      <c r="AA17" s="99"/>
      <c r="AB17" s="99"/>
      <c r="AC17" s="100"/>
      <c r="AD17" s="101" t="str">
        <f t="shared" si="11"/>
        <v/>
      </c>
      <c r="AE17" s="102" t="str">
        <f t="shared" si="12"/>
        <v/>
      </c>
      <c r="AF17" s="103" t="str">
        <f t="shared" si="13"/>
        <v/>
      </c>
      <c r="AG17" s="104" t="str">
        <f t="shared" si="4"/>
        <v/>
      </c>
    </row>
    <row r="18" spans="1:33" x14ac:dyDescent="0.25">
      <c r="A18" s="4">
        <f t="shared" si="5"/>
        <v>15</v>
      </c>
      <c r="B18" s="30" t="str">
        <f t="shared" si="6"/>
        <v/>
      </c>
      <c r="C18" s="67" t="str">
        <f t="shared" si="10"/>
        <v/>
      </c>
      <c r="D18" s="105"/>
      <c r="E18" s="106"/>
      <c r="F18" s="106"/>
      <c r="G18" s="106"/>
      <c r="H18" s="107"/>
      <c r="I18" s="106"/>
      <c r="J18" s="106"/>
      <c r="K18" s="106"/>
      <c r="L18" s="106"/>
      <c r="M18" s="106"/>
      <c r="N18" s="108"/>
      <c r="O18" s="108" t="str">
        <f>IF(N18="","",IF('Event Dataset'!N18&lt;='Drop Downs and Assumptions'!$K$2,'Drop Downs and Assumptions'!$L$2,IF(AND('Event Dataset'!N18&gt;='Drop Downs and Assumptions'!$J$3,'Event Dataset'!N18&lt;='Drop Downs and Assumptions'!$K$3),'Drop Downs and Assumptions'!$L$3,IF(AND('Event Dataset'!N18&gt;='Drop Downs and Assumptions'!$J$4,'Event Dataset'!N18&lt;='Drop Downs and Assumptions'!$K$4),'Drop Downs and Assumptions'!$L$4,IF('Event Dataset'!N18&gt;='Drop Downs and Assumptions'!$J$5,'Drop Downs and Assumptions'!$L$5,"")))))</f>
        <v/>
      </c>
      <c r="P18" s="109"/>
      <c r="Q18" s="97"/>
      <c r="R18" s="110"/>
      <c r="S18" s="111"/>
      <c r="T18" s="111"/>
      <c r="U18" s="111"/>
      <c r="V18" s="111"/>
      <c r="W18" s="111"/>
      <c r="X18" s="111"/>
      <c r="Y18" s="111"/>
      <c r="Z18" s="111"/>
      <c r="AA18" s="111"/>
      <c r="AB18" s="111"/>
      <c r="AC18" s="112"/>
      <c r="AD18" s="113" t="str">
        <f t="shared" si="11"/>
        <v/>
      </c>
      <c r="AE18" s="114" t="str">
        <f t="shared" si="12"/>
        <v/>
      </c>
      <c r="AF18" s="115" t="str">
        <f t="shared" si="13"/>
        <v/>
      </c>
      <c r="AG18" s="116" t="str">
        <f t="shared" si="4"/>
        <v/>
      </c>
    </row>
    <row r="19" spans="1:33" x14ac:dyDescent="0.25">
      <c r="A19" s="16">
        <f t="shared" si="5"/>
        <v>16</v>
      </c>
      <c r="B19" s="31" t="str">
        <f t="shared" si="6"/>
        <v/>
      </c>
      <c r="C19" s="66" t="str">
        <f t="shared" si="10"/>
        <v/>
      </c>
      <c r="D19" s="92"/>
      <c r="E19" s="93"/>
      <c r="F19" s="93"/>
      <c r="G19" s="93"/>
      <c r="H19" s="94"/>
      <c r="I19" s="93"/>
      <c r="J19" s="93"/>
      <c r="K19" s="93"/>
      <c r="L19" s="93"/>
      <c r="M19" s="93"/>
      <c r="N19" s="95"/>
      <c r="O19" s="95" t="str">
        <f>IF(N19="","",IF('Event Dataset'!N19&lt;='Drop Downs and Assumptions'!$K$2,'Drop Downs and Assumptions'!$L$2,IF(AND('Event Dataset'!N19&gt;='Drop Downs and Assumptions'!$J$3,'Event Dataset'!N19&lt;='Drop Downs and Assumptions'!$K$3),'Drop Downs and Assumptions'!$L$3,IF(AND('Event Dataset'!N19&gt;='Drop Downs and Assumptions'!$J$4,'Event Dataset'!N19&lt;='Drop Downs and Assumptions'!$K$4),'Drop Downs and Assumptions'!$L$4,IF('Event Dataset'!N19&gt;='Drop Downs and Assumptions'!$J$5,'Drop Downs and Assumptions'!$L$5,"")))))</f>
        <v/>
      </c>
      <c r="P19" s="96"/>
      <c r="Q19" s="97"/>
      <c r="R19" s="98"/>
      <c r="S19" s="99"/>
      <c r="T19" s="99"/>
      <c r="U19" s="99"/>
      <c r="V19" s="99"/>
      <c r="W19" s="99"/>
      <c r="X19" s="99"/>
      <c r="Y19" s="99"/>
      <c r="Z19" s="99"/>
      <c r="AA19" s="99"/>
      <c r="AB19" s="99"/>
      <c r="AC19" s="100"/>
      <c r="AD19" s="101" t="str">
        <f t="shared" si="11"/>
        <v/>
      </c>
      <c r="AE19" s="102" t="str">
        <f t="shared" si="12"/>
        <v/>
      </c>
      <c r="AF19" s="103" t="str">
        <f t="shared" si="13"/>
        <v/>
      </c>
      <c r="AG19" s="104" t="str">
        <f t="shared" si="4"/>
        <v/>
      </c>
    </row>
    <row r="20" spans="1:33" x14ac:dyDescent="0.25">
      <c r="A20" s="4">
        <f t="shared" si="5"/>
        <v>17</v>
      </c>
      <c r="B20" s="30" t="str">
        <f t="shared" si="6"/>
        <v/>
      </c>
      <c r="C20" s="67" t="str">
        <f t="shared" si="10"/>
        <v/>
      </c>
      <c r="D20" s="105"/>
      <c r="E20" s="106"/>
      <c r="F20" s="106"/>
      <c r="G20" s="106"/>
      <c r="H20" s="107"/>
      <c r="I20" s="106"/>
      <c r="J20" s="106"/>
      <c r="K20" s="106"/>
      <c r="L20" s="106"/>
      <c r="M20" s="106"/>
      <c r="N20" s="108"/>
      <c r="O20" s="108" t="str">
        <f>IF(N20="","",IF('Event Dataset'!N20&lt;='Drop Downs and Assumptions'!$K$2,'Drop Downs and Assumptions'!$L$2,IF(AND('Event Dataset'!N20&gt;='Drop Downs and Assumptions'!$J$3,'Event Dataset'!N20&lt;='Drop Downs and Assumptions'!$K$3),'Drop Downs and Assumptions'!$L$3,IF(AND('Event Dataset'!N20&gt;='Drop Downs and Assumptions'!$J$4,'Event Dataset'!N20&lt;='Drop Downs and Assumptions'!$K$4),'Drop Downs and Assumptions'!$L$4,IF('Event Dataset'!N20&gt;='Drop Downs and Assumptions'!$J$5,'Drop Downs and Assumptions'!$L$5,"")))))</f>
        <v/>
      </c>
      <c r="P20" s="109"/>
      <c r="Q20" s="97"/>
      <c r="R20" s="110"/>
      <c r="S20" s="111"/>
      <c r="T20" s="111"/>
      <c r="U20" s="111"/>
      <c r="V20" s="111"/>
      <c r="W20" s="111"/>
      <c r="X20" s="111"/>
      <c r="Y20" s="111"/>
      <c r="Z20" s="111"/>
      <c r="AA20" s="111"/>
      <c r="AB20" s="111"/>
      <c r="AC20" s="112"/>
      <c r="AD20" s="113" t="str">
        <f t="shared" si="11"/>
        <v/>
      </c>
      <c r="AE20" s="114" t="str">
        <f t="shared" si="12"/>
        <v/>
      </c>
      <c r="AF20" s="115" t="str">
        <f t="shared" si="13"/>
        <v/>
      </c>
      <c r="AG20" s="116" t="str">
        <f t="shared" si="4"/>
        <v/>
      </c>
    </row>
    <row r="21" spans="1:33" x14ac:dyDescent="0.25">
      <c r="A21" s="16">
        <f t="shared" si="5"/>
        <v>18</v>
      </c>
      <c r="B21" s="31" t="str">
        <f t="shared" si="6"/>
        <v/>
      </c>
      <c r="C21" s="66" t="str">
        <f t="shared" si="10"/>
        <v/>
      </c>
      <c r="D21" s="92"/>
      <c r="E21" s="93"/>
      <c r="F21" s="93"/>
      <c r="G21" s="93"/>
      <c r="H21" s="94"/>
      <c r="I21" s="93"/>
      <c r="J21" s="93"/>
      <c r="K21" s="93"/>
      <c r="L21" s="93"/>
      <c r="M21" s="93"/>
      <c r="N21" s="95"/>
      <c r="O21" s="95" t="str">
        <f>IF(N21="","",IF('Event Dataset'!N21&lt;='Drop Downs and Assumptions'!$K$2,'Drop Downs and Assumptions'!$L$2,IF(AND('Event Dataset'!N21&gt;='Drop Downs and Assumptions'!$J$3,'Event Dataset'!N21&lt;='Drop Downs and Assumptions'!$K$3),'Drop Downs and Assumptions'!$L$3,IF(AND('Event Dataset'!N21&gt;='Drop Downs and Assumptions'!$J$4,'Event Dataset'!N21&lt;='Drop Downs and Assumptions'!$K$4),'Drop Downs and Assumptions'!$L$4,IF('Event Dataset'!N21&gt;='Drop Downs and Assumptions'!$J$5,'Drop Downs and Assumptions'!$L$5,"")))))</f>
        <v/>
      </c>
      <c r="P21" s="96"/>
      <c r="Q21" s="97"/>
      <c r="R21" s="98"/>
      <c r="S21" s="99"/>
      <c r="T21" s="99"/>
      <c r="U21" s="99"/>
      <c r="V21" s="99"/>
      <c r="W21" s="99"/>
      <c r="X21" s="99"/>
      <c r="Y21" s="99"/>
      <c r="Z21" s="99"/>
      <c r="AA21" s="99"/>
      <c r="AB21" s="99"/>
      <c r="AC21" s="100"/>
      <c r="AD21" s="101" t="str">
        <f t="shared" si="11"/>
        <v/>
      </c>
      <c r="AE21" s="102" t="str">
        <f t="shared" si="12"/>
        <v/>
      </c>
      <c r="AF21" s="103" t="str">
        <f t="shared" si="13"/>
        <v/>
      </c>
      <c r="AG21" s="104" t="str">
        <f t="shared" si="4"/>
        <v/>
      </c>
    </row>
    <row r="22" spans="1:33" x14ac:dyDescent="0.25">
      <c r="A22" s="4">
        <f t="shared" si="5"/>
        <v>19</v>
      </c>
      <c r="B22" s="30" t="str">
        <f t="shared" si="6"/>
        <v/>
      </c>
      <c r="C22" s="67" t="str">
        <f t="shared" si="10"/>
        <v/>
      </c>
      <c r="D22" s="105"/>
      <c r="E22" s="106"/>
      <c r="F22" s="106"/>
      <c r="G22" s="106"/>
      <c r="H22" s="107"/>
      <c r="I22" s="106"/>
      <c r="J22" s="106"/>
      <c r="K22" s="106"/>
      <c r="L22" s="106"/>
      <c r="M22" s="106"/>
      <c r="N22" s="108"/>
      <c r="O22" s="108" t="str">
        <f>IF(N22="","",IF('Event Dataset'!N22&lt;='Drop Downs and Assumptions'!$K$2,'Drop Downs and Assumptions'!$L$2,IF(AND('Event Dataset'!N22&gt;='Drop Downs and Assumptions'!$J$3,'Event Dataset'!N22&lt;='Drop Downs and Assumptions'!$K$3),'Drop Downs and Assumptions'!$L$3,IF(AND('Event Dataset'!N22&gt;='Drop Downs and Assumptions'!$J$4,'Event Dataset'!N22&lt;='Drop Downs and Assumptions'!$K$4),'Drop Downs and Assumptions'!$L$4,IF('Event Dataset'!N22&gt;='Drop Downs and Assumptions'!$J$5,'Drop Downs and Assumptions'!$L$5,"")))))</f>
        <v/>
      </c>
      <c r="P22" s="109"/>
      <c r="Q22" s="97"/>
      <c r="R22" s="110"/>
      <c r="S22" s="111"/>
      <c r="T22" s="111"/>
      <c r="U22" s="111"/>
      <c r="V22" s="111"/>
      <c r="W22" s="111"/>
      <c r="X22" s="111"/>
      <c r="Y22" s="111"/>
      <c r="Z22" s="111"/>
      <c r="AA22" s="111"/>
      <c r="AB22" s="111"/>
      <c r="AC22" s="112"/>
      <c r="AD22" s="113" t="str">
        <f t="shared" si="11"/>
        <v/>
      </c>
      <c r="AE22" s="114" t="str">
        <f t="shared" si="12"/>
        <v/>
      </c>
      <c r="AF22" s="115" t="str">
        <f t="shared" si="13"/>
        <v/>
      </c>
      <c r="AG22" s="116" t="str">
        <f t="shared" si="4"/>
        <v/>
      </c>
    </row>
    <row r="23" spans="1:33" x14ac:dyDescent="0.25">
      <c r="A23" s="16">
        <f t="shared" si="5"/>
        <v>20</v>
      </c>
      <c r="B23" s="31" t="str">
        <f t="shared" si="6"/>
        <v/>
      </c>
      <c r="C23" s="66" t="str">
        <f t="shared" si="10"/>
        <v/>
      </c>
      <c r="D23" s="92"/>
      <c r="E23" s="93"/>
      <c r="F23" s="93"/>
      <c r="G23" s="93"/>
      <c r="H23" s="94"/>
      <c r="I23" s="93"/>
      <c r="J23" s="93"/>
      <c r="K23" s="93"/>
      <c r="L23" s="93"/>
      <c r="M23" s="93"/>
      <c r="N23" s="95"/>
      <c r="O23" s="95" t="str">
        <f>IF(N23="","",IF('Event Dataset'!N23&lt;='Drop Downs and Assumptions'!$K$2,'Drop Downs and Assumptions'!$L$2,IF(AND('Event Dataset'!N23&gt;='Drop Downs and Assumptions'!$J$3,'Event Dataset'!N23&lt;='Drop Downs and Assumptions'!$K$3),'Drop Downs and Assumptions'!$L$3,IF(AND('Event Dataset'!N23&gt;='Drop Downs and Assumptions'!$J$4,'Event Dataset'!N23&lt;='Drop Downs and Assumptions'!$K$4),'Drop Downs and Assumptions'!$L$4,IF('Event Dataset'!N23&gt;='Drop Downs and Assumptions'!$J$5,'Drop Downs and Assumptions'!$L$5,"")))))</f>
        <v/>
      </c>
      <c r="P23" s="96"/>
      <c r="Q23" s="97"/>
      <c r="R23" s="98"/>
      <c r="S23" s="99"/>
      <c r="T23" s="99"/>
      <c r="U23" s="99"/>
      <c r="V23" s="99"/>
      <c r="W23" s="99"/>
      <c r="X23" s="99"/>
      <c r="Y23" s="99"/>
      <c r="Z23" s="99"/>
      <c r="AA23" s="99"/>
      <c r="AB23" s="99"/>
      <c r="AC23" s="100"/>
      <c r="AD23" s="101" t="str">
        <f t="shared" si="11"/>
        <v/>
      </c>
      <c r="AE23" s="102" t="str">
        <f t="shared" si="12"/>
        <v/>
      </c>
      <c r="AF23" s="103" t="str">
        <f t="shared" si="13"/>
        <v/>
      </c>
      <c r="AG23" s="104" t="str">
        <f t="shared" si="4"/>
        <v/>
      </c>
    </row>
    <row r="24" spans="1:33" x14ac:dyDescent="0.25">
      <c r="A24" s="4">
        <f t="shared" si="5"/>
        <v>21</v>
      </c>
      <c r="B24" s="30" t="str">
        <f t="shared" si="6"/>
        <v/>
      </c>
      <c r="C24" s="67" t="str">
        <f t="shared" si="10"/>
        <v/>
      </c>
      <c r="D24" s="105"/>
      <c r="E24" s="106"/>
      <c r="F24" s="106"/>
      <c r="G24" s="106"/>
      <c r="H24" s="107"/>
      <c r="I24" s="106"/>
      <c r="J24" s="106"/>
      <c r="K24" s="106"/>
      <c r="L24" s="106"/>
      <c r="M24" s="106"/>
      <c r="N24" s="108"/>
      <c r="O24" s="108" t="str">
        <f>IF(N24="","",IF('Event Dataset'!N24&lt;='Drop Downs and Assumptions'!$K$2,'Drop Downs and Assumptions'!$L$2,IF(AND('Event Dataset'!N24&gt;='Drop Downs and Assumptions'!$J$3,'Event Dataset'!N24&lt;='Drop Downs and Assumptions'!$K$3),'Drop Downs and Assumptions'!$L$3,IF(AND('Event Dataset'!N24&gt;='Drop Downs and Assumptions'!$J$4,'Event Dataset'!N24&lt;='Drop Downs and Assumptions'!$K$4),'Drop Downs and Assumptions'!$L$4,IF('Event Dataset'!N24&gt;='Drop Downs and Assumptions'!$J$5,'Drop Downs and Assumptions'!$L$5,"")))))</f>
        <v/>
      </c>
      <c r="P24" s="109"/>
      <c r="Q24" s="97"/>
      <c r="R24" s="110"/>
      <c r="S24" s="111"/>
      <c r="T24" s="111"/>
      <c r="U24" s="111"/>
      <c r="V24" s="111"/>
      <c r="W24" s="111"/>
      <c r="X24" s="111"/>
      <c r="Y24" s="111"/>
      <c r="Z24" s="111"/>
      <c r="AA24" s="111"/>
      <c r="AB24" s="111"/>
      <c r="AC24" s="112"/>
      <c r="AD24" s="113" t="str">
        <f t="shared" si="11"/>
        <v/>
      </c>
      <c r="AE24" s="114" t="str">
        <f t="shared" si="12"/>
        <v/>
      </c>
      <c r="AF24" s="115" t="str">
        <f t="shared" si="13"/>
        <v/>
      </c>
      <c r="AG24" s="116" t="str">
        <f t="shared" si="4"/>
        <v/>
      </c>
    </row>
    <row r="25" spans="1:33" x14ac:dyDescent="0.25">
      <c r="A25" s="16">
        <f t="shared" si="5"/>
        <v>22</v>
      </c>
      <c r="B25" s="31" t="str">
        <f t="shared" si="6"/>
        <v/>
      </c>
      <c r="C25" s="66" t="str">
        <f t="shared" si="10"/>
        <v/>
      </c>
      <c r="D25" s="92"/>
      <c r="E25" s="93"/>
      <c r="F25" s="93"/>
      <c r="G25" s="93"/>
      <c r="H25" s="94"/>
      <c r="I25" s="93"/>
      <c r="J25" s="93"/>
      <c r="K25" s="93"/>
      <c r="L25" s="93"/>
      <c r="M25" s="93"/>
      <c r="N25" s="95"/>
      <c r="O25" s="95" t="str">
        <f>IF(N25="","",IF('Event Dataset'!N25&lt;='Drop Downs and Assumptions'!$K$2,'Drop Downs and Assumptions'!$L$2,IF(AND('Event Dataset'!N25&gt;='Drop Downs and Assumptions'!$J$3,'Event Dataset'!N25&lt;='Drop Downs and Assumptions'!$K$3),'Drop Downs and Assumptions'!$L$3,IF(AND('Event Dataset'!N25&gt;='Drop Downs and Assumptions'!$J$4,'Event Dataset'!N25&lt;='Drop Downs and Assumptions'!$K$4),'Drop Downs and Assumptions'!$L$4,IF('Event Dataset'!N25&gt;='Drop Downs and Assumptions'!$J$5,'Drop Downs and Assumptions'!$L$5,"")))))</f>
        <v/>
      </c>
      <c r="P25" s="96"/>
      <c r="Q25" s="97"/>
      <c r="R25" s="98"/>
      <c r="S25" s="99"/>
      <c r="T25" s="99"/>
      <c r="U25" s="99"/>
      <c r="V25" s="99"/>
      <c r="W25" s="99"/>
      <c r="X25" s="99"/>
      <c r="Y25" s="99"/>
      <c r="Z25" s="99"/>
      <c r="AA25" s="99"/>
      <c r="AB25" s="99"/>
      <c r="AC25" s="100"/>
      <c r="AD25" s="101" t="str">
        <f t="shared" si="11"/>
        <v/>
      </c>
      <c r="AE25" s="102" t="str">
        <f t="shared" si="12"/>
        <v/>
      </c>
      <c r="AF25" s="103" t="str">
        <f t="shared" si="13"/>
        <v/>
      </c>
      <c r="AG25" s="104" t="str">
        <f t="shared" si="4"/>
        <v/>
      </c>
    </row>
    <row r="26" spans="1:33" x14ac:dyDescent="0.25">
      <c r="A26" s="4">
        <f t="shared" si="5"/>
        <v>23</v>
      </c>
      <c r="B26" s="30" t="str">
        <f t="shared" si="6"/>
        <v/>
      </c>
      <c r="C26" s="67" t="str">
        <f t="shared" si="10"/>
        <v/>
      </c>
      <c r="D26" s="105"/>
      <c r="E26" s="106"/>
      <c r="F26" s="106"/>
      <c r="G26" s="106"/>
      <c r="H26" s="107"/>
      <c r="I26" s="106"/>
      <c r="J26" s="106"/>
      <c r="K26" s="106"/>
      <c r="L26" s="106"/>
      <c r="M26" s="106"/>
      <c r="N26" s="108"/>
      <c r="O26" s="108" t="str">
        <f>IF(N26="","",IF('Event Dataset'!N26&lt;='Drop Downs and Assumptions'!$K$2,'Drop Downs and Assumptions'!$L$2,IF(AND('Event Dataset'!N26&gt;='Drop Downs and Assumptions'!$J$3,'Event Dataset'!N26&lt;='Drop Downs and Assumptions'!$K$3),'Drop Downs and Assumptions'!$L$3,IF(AND('Event Dataset'!N26&gt;='Drop Downs and Assumptions'!$J$4,'Event Dataset'!N26&lt;='Drop Downs and Assumptions'!$K$4),'Drop Downs and Assumptions'!$L$4,IF('Event Dataset'!N26&gt;='Drop Downs and Assumptions'!$J$5,'Drop Downs and Assumptions'!$L$5,"")))))</f>
        <v/>
      </c>
      <c r="P26" s="109"/>
      <c r="Q26" s="97"/>
      <c r="R26" s="110"/>
      <c r="S26" s="111"/>
      <c r="T26" s="111"/>
      <c r="U26" s="111"/>
      <c r="V26" s="111"/>
      <c r="W26" s="111"/>
      <c r="X26" s="111"/>
      <c r="Y26" s="111"/>
      <c r="Z26" s="111"/>
      <c r="AA26" s="111"/>
      <c r="AB26" s="111"/>
      <c r="AC26" s="112"/>
      <c r="AD26" s="113" t="str">
        <f t="shared" si="11"/>
        <v/>
      </c>
      <c r="AE26" s="114" t="str">
        <f t="shared" si="12"/>
        <v/>
      </c>
      <c r="AF26" s="115" t="str">
        <f t="shared" si="13"/>
        <v/>
      </c>
      <c r="AG26" s="116" t="str">
        <f t="shared" si="4"/>
        <v/>
      </c>
    </row>
    <row r="27" spans="1:33" x14ac:dyDescent="0.25">
      <c r="A27" s="16">
        <f t="shared" si="5"/>
        <v>24</v>
      </c>
      <c r="B27" s="31" t="str">
        <f t="shared" si="6"/>
        <v/>
      </c>
      <c r="C27" s="66" t="str">
        <f t="shared" si="10"/>
        <v/>
      </c>
      <c r="D27" s="92"/>
      <c r="E27" s="93"/>
      <c r="F27" s="93"/>
      <c r="G27" s="93"/>
      <c r="H27" s="94"/>
      <c r="I27" s="93"/>
      <c r="J27" s="93"/>
      <c r="K27" s="93"/>
      <c r="L27" s="93"/>
      <c r="M27" s="93"/>
      <c r="N27" s="95"/>
      <c r="O27" s="95" t="str">
        <f>IF(N27="","",IF('Event Dataset'!N27&lt;='Drop Downs and Assumptions'!$K$2,'Drop Downs and Assumptions'!$L$2,IF(AND('Event Dataset'!N27&gt;='Drop Downs and Assumptions'!$J$3,'Event Dataset'!N27&lt;='Drop Downs and Assumptions'!$K$3),'Drop Downs and Assumptions'!$L$3,IF(AND('Event Dataset'!N27&gt;='Drop Downs and Assumptions'!$J$4,'Event Dataset'!N27&lt;='Drop Downs and Assumptions'!$K$4),'Drop Downs and Assumptions'!$L$4,IF('Event Dataset'!N27&gt;='Drop Downs and Assumptions'!$J$5,'Drop Downs and Assumptions'!$L$5,"")))))</f>
        <v/>
      </c>
      <c r="P27" s="96"/>
      <c r="Q27" s="97"/>
      <c r="R27" s="98"/>
      <c r="S27" s="99"/>
      <c r="T27" s="99"/>
      <c r="U27" s="99"/>
      <c r="V27" s="99"/>
      <c r="W27" s="99"/>
      <c r="X27" s="99"/>
      <c r="Y27" s="99"/>
      <c r="Z27" s="99"/>
      <c r="AA27" s="99"/>
      <c r="AB27" s="99"/>
      <c r="AC27" s="100"/>
      <c r="AD27" s="101" t="str">
        <f t="shared" si="11"/>
        <v/>
      </c>
      <c r="AE27" s="102" t="str">
        <f t="shared" si="12"/>
        <v/>
      </c>
      <c r="AF27" s="103" t="str">
        <f t="shared" si="13"/>
        <v/>
      </c>
      <c r="AG27" s="104" t="str">
        <f t="shared" si="4"/>
        <v/>
      </c>
    </row>
    <row r="28" spans="1:33" x14ac:dyDescent="0.25">
      <c r="A28" s="4">
        <f t="shared" si="5"/>
        <v>25</v>
      </c>
      <c r="B28" s="30" t="str">
        <f t="shared" si="6"/>
        <v/>
      </c>
      <c r="C28" s="67" t="str">
        <f t="shared" si="10"/>
        <v/>
      </c>
      <c r="D28" s="105"/>
      <c r="E28" s="106"/>
      <c r="F28" s="106"/>
      <c r="G28" s="106"/>
      <c r="H28" s="107"/>
      <c r="I28" s="106"/>
      <c r="J28" s="106"/>
      <c r="K28" s="106"/>
      <c r="L28" s="106"/>
      <c r="M28" s="106"/>
      <c r="N28" s="108"/>
      <c r="O28" s="108" t="str">
        <f>IF(N28="","",IF('Event Dataset'!N28&lt;='Drop Downs and Assumptions'!$K$2,'Drop Downs and Assumptions'!$L$2,IF(AND('Event Dataset'!N28&gt;='Drop Downs and Assumptions'!$J$3,'Event Dataset'!N28&lt;='Drop Downs and Assumptions'!$K$3),'Drop Downs and Assumptions'!$L$3,IF(AND('Event Dataset'!N28&gt;='Drop Downs and Assumptions'!$J$4,'Event Dataset'!N28&lt;='Drop Downs and Assumptions'!$K$4),'Drop Downs and Assumptions'!$L$4,IF('Event Dataset'!N28&gt;='Drop Downs and Assumptions'!$J$5,'Drop Downs and Assumptions'!$L$5,"")))))</f>
        <v/>
      </c>
      <c r="P28" s="109"/>
      <c r="Q28" s="97"/>
      <c r="R28" s="110"/>
      <c r="S28" s="111"/>
      <c r="T28" s="111"/>
      <c r="U28" s="111"/>
      <c r="V28" s="111"/>
      <c r="W28" s="111"/>
      <c r="X28" s="111"/>
      <c r="Y28" s="111"/>
      <c r="Z28" s="111"/>
      <c r="AA28" s="111"/>
      <c r="AB28" s="111"/>
      <c r="AC28" s="112"/>
      <c r="AD28" s="113" t="str">
        <f t="shared" si="11"/>
        <v/>
      </c>
      <c r="AE28" s="114" t="str">
        <f t="shared" si="12"/>
        <v/>
      </c>
      <c r="AF28" s="115" t="str">
        <f t="shared" si="13"/>
        <v/>
      </c>
      <c r="AG28" s="116" t="str">
        <f t="shared" si="4"/>
        <v/>
      </c>
    </row>
    <row r="29" spans="1:33" x14ac:dyDescent="0.25">
      <c r="A29" s="16">
        <f t="shared" si="5"/>
        <v>26</v>
      </c>
      <c r="B29" s="31" t="str">
        <f t="shared" si="6"/>
        <v/>
      </c>
      <c r="C29" s="66" t="str">
        <f t="shared" si="10"/>
        <v/>
      </c>
      <c r="D29" s="92"/>
      <c r="E29" s="93"/>
      <c r="F29" s="93"/>
      <c r="G29" s="93"/>
      <c r="H29" s="94"/>
      <c r="I29" s="93"/>
      <c r="J29" s="93"/>
      <c r="K29" s="93"/>
      <c r="L29" s="93"/>
      <c r="M29" s="93"/>
      <c r="N29" s="95"/>
      <c r="O29" s="95" t="str">
        <f>IF(N29="","",IF('Event Dataset'!N29&lt;='Drop Downs and Assumptions'!$K$2,'Drop Downs and Assumptions'!$L$2,IF(AND('Event Dataset'!N29&gt;='Drop Downs and Assumptions'!$J$3,'Event Dataset'!N29&lt;='Drop Downs and Assumptions'!$K$3),'Drop Downs and Assumptions'!$L$3,IF(AND('Event Dataset'!N29&gt;='Drop Downs and Assumptions'!$J$4,'Event Dataset'!N29&lt;='Drop Downs and Assumptions'!$K$4),'Drop Downs and Assumptions'!$L$4,IF('Event Dataset'!N29&gt;='Drop Downs and Assumptions'!$J$5,'Drop Downs and Assumptions'!$L$5,"")))))</f>
        <v/>
      </c>
      <c r="P29" s="96"/>
      <c r="Q29" s="97"/>
      <c r="R29" s="98"/>
      <c r="S29" s="99"/>
      <c r="T29" s="99"/>
      <c r="U29" s="99"/>
      <c r="V29" s="99"/>
      <c r="W29" s="99"/>
      <c r="X29" s="99"/>
      <c r="Y29" s="99"/>
      <c r="Z29" s="99"/>
      <c r="AA29" s="99"/>
      <c r="AB29" s="99"/>
      <c r="AC29" s="100"/>
      <c r="AD29" s="101" t="str">
        <f t="shared" si="11"/>
        <v/>
      </c>
      <c r="AE29" s="102" t="str">
        <f t="shared" si="12"/>
        <v/>
      </c>
      <c r="AF29" s="103" t="str">
        <f t="shared" si="13"/>
        <v/>
      </c>
      <c r="AG29" s="104" t="str">
        <f t="shared" si="4"/>
        <v/>
      </c>
    </row>
    <row r="30" spans="1:33" x14ac:dyDescent="0.25">
      <c r="A30" s="4">
        <f t="shared" si="5"/>
        <v>27</v>
      </c>
      <c r="B30" s="30" t="str">
        <f t="shared" si="6"/>
        <v/>
      </c>
      <c r="C30" s="67" t="str">
        <f t="shared" si="10"/>
        <v/>
      </c>
      <c r="D30" s="105"/>
      <c r="E30" s="106"/>
      <c r="F30" s="106"/>
      <c r="G30" s="106"/>
      <c r="H30" s="107"/>
      <c r="I30" s="106"/>
      <c r="J30" s="106"/>
      <c r="K30" s="106"/>
      <c r="L30" s="106"/>
      <c r="M30" s="106"/>
      <c r="N30" s="108"/>
      <c r="O30" s="108" t="str">
        <f>IF(N30="","",IF('Event Dataset'!N30&lt;='Drop Downs and Assumptions'!$K$2,'Drop Downs and Assumptions'!$L$2,IF(AND('Event Dataset'!N30&gt;='Drop Downs and Assumptions'!$J$3,'Event Dataset'!N30&lt;='Drop Downs and Assumptions'!$K$3),'Drop Downs and Assumptions'!$L$3,IF(AND('Event Dataset'!N30&gt;='Drop Downs and Assumptions'!$J$4,'Event Dataset'!N30&lt;='Drop Downs and Assumptions'!$K$4),'Drop Downs and Assumptions'!$L$4,IF('Event Dataset'!N30&gt;='Drop Downs and Assumptions'!$J$5,'Drop Downs and Assumptions'!$L$5,"")))))</f>
        <v/>
      </c>
      <c r="P30" s="109"/>
      <c r="Q30" s="97"/>
      <c r="R30" s="110"/>
      <c r="S30" s="111"/>
      <c r="T30" s="111"/>
      <c r="U30" s="111"/>
      <c r="V30" s="111"/>
      <c r="W30" s="111"/>
      <c r="X30" s="111"/>
      <c r="Y30" s="111"/>
      <c r="Z30" s="111"/>
      <c r="AA30" s="111"/>
      <c r="AB30" s="111"/>
      <c r="AC30" s="112"/>
      <c r="AD30" s="113" t="str">
        <f t="shared" si="11"/>
        <v/>
      </c>
      <c r="AE30" s="114" t="str">
        <f t="shared" si="12"/>
        <v/>
      </c>
      <c r="AF30" s="115" t="str">
        <f t="shared" si="13"/>
        <v/>
      </c>
      <c r="AG30" s="116" t="str">
        <f t="shared" si="4"/>
        <v/>
      </c>
    </row>
    <row r="31" spans="1:33" x14ac:dyDescent="0.25">
      <c r="A31" s="16">
        <f t="shared" si="5"/>
        <v>28</v>
      </c>
      <c r="B31" s="31" t="str">
        <f t="shared" si="6"/>
        <v/>
      </c>
      <c r="C31" s="66" t="str">
        <f t="shared" si="10"/>
        <v/>
      </c>
      <c r="D31" s="92"/>
      <c r="E31" s="93"/>
      <c r="F31" s="93"/>
      <c r="G31" s="93"/>
      <c r="H31" s="94"/>
      <c r="I31" s="93"/>
      <c r="J31" s="93"/>
      <c r="K31" s="93"/>
      <c r="L31" s="93"/>
      <c r="M31" s="93"/>
      <c r="N31" s="95"/>
      <c r="O31" s="95" t="str">
        <f>IF(N31="","",IF('Event Dataset'!N31&lt;='Drop Downs and Assumptions'!$K$2,'Drop Downs and Assumptions'!$L$2,IF(AND('Event Dataset'!N31&gt;='Drop Downs and Assumptions'!$J$3,'Event Dataset'!N31&lt;='Drop Downs and Assumptions'!$K$3),'Drop Downs and Assumptions'!$L$3,IF(AND('Event Dataset'!N31&gt;='Drop Downs and Assumptions'!$J$4,'Event Dataset'!N31&lt;='Drop Downs and Assumptions'!$K$4),'Drop Downs and Assumptions'!$L$4,IF('Event Dataset'!N31&gt;='Drop Downs and Assumptions'!$J$5,'Drop Downs and Assumptions'!$L$5,"")))))</f>
        <v/>
      </c>
      <c r="P31" s="96"/>
      <c r="Q31" s="97"/>
      <c r="R31" s="98"/>
      <c r="S31" s="99"/>
      <c r="T31" s="99"/>
      <c r="U31" s="99"/>
      <c r="V31" s="99"/>
      <c r="W31" s="99"/>
      <c r="X31" s="99"/>
      <c r="Y31" s="99"/>
      <c r="Z31" s="99"/>
      <c r="AA31" s="99"/>
      <c r="AB31" s="99"/>
      <c r="AC31" s="100"/>
      <c r="AD31" s="101" t="str">
        <f t="shared" si="11"/>
        <v/>
      </c>
      <c r="AE31" s="102" t="str">
        <f t="shared" si="12"/>
        <v/>
      </c>
      <c r="AF31" s="103" t="str">
        <f t="shared" si="13"/>
        <v/>
      </c>
      <c r="AG31" s="104" t="str">
        <f t="shared" si="4"/>
        <v/>
      </c>
    </row>
    <row r="32" spans="1:33" x14ac:dyDescent="0.25">
      <c r="A32" s="4">
        <f t="shared" si="5"/>
        <v>29</v>
      </c>
      <c r="B32" s="30" t="str">
        <f t="shared" si="6"/>
        <v/>
      </c>
      <c r="C32" s="67" t="str">
        <f t="shared" si="10"/>
        <v/>
      </c>
      <c r="D32" s="105"/>
      <c r="E32" s="106"/>
      <c r="F32" s="106"/>
      <c r="G32" s="106"/>
      <c r="H32" s="107"/>
      <c r="I32" s="106"/>
      <c r="J32" s="106"/>
      <c r="K32" s="106"/>
      <c r="L32" s="106"/>
      <c r="M32" s="106"/>
      <c r="N32" s="108"/>
      <c r="O32" s="108" t="str">
        <f>IF(N32="","",IF('Event Dataset'!N32&lt;='Drop Downs and Assumptions'!$K$2,'Drop Downs and Assumptions'!$L$2,IF(AND('Event Dataset'!N32&gt;='Drop Downs and Assumptions'!$J$3,'Event Dataset'!N32&lt;='Drop Downs and Assumptions'!$K$3),'Drop Downs and Assumptions'!$L$3,IF(AND('Event Dataset'!N32&gt;='Drop Downs and Assumptions'!$J$4,'Event Dataset'!N32&lt;='Drop Downs and Assumptions'!$K$4),'Drop Downs and Assumptions'!$L$4,IF('Event Dataset'!N32&gt;='Drop Downs and Assumptions'!$J$5,'Drop Downs and Assumptions'!$L$5,"")))))</f>
        <v/>
      </c>
      <c r="P32" s="109"/>
      <c r="Q32" s="97"/>
      <c r="R32" s="110"/>
      <c r="S32" s="111"/>
      <c r="T32" s="111"/>
      <c r="U32" s="111"/>
      <c r="V32" s="111"/>
      <c r="W32" s="111"/>
      <c r="X32" s="111"/>
      <c r="Y32" s="111"/>
      <c r="Z32" s="111"/>
      <c r="AA32" s="111"/>
      <c r="AB32" s="111"/>
      <c r="AC32" s="112"/>
      <c r="AD32" s="113" t="str">
        <f t="shared" si="11"/>
        <v/>
      </c>
      <c r="AE32" s="114" t="str">
        <f t="shared" si="12"/>
        <v/>
      </c>
      <c r="AF32" s="115" t="str">
        <f t="shared" si="13"/>
        <v/>
      </c>
      <c r="AG32" s="116" t="str">
        <f t="shared" si="4"/>
        <v/>
      </c>
    </row>
    <row r="33" spans="1:33" x14ac:dyDescent="0.25">
      <c r="A33" s="16">
        <f t="shared" si="5"/>
        <v>30</v>
      </c>
      <c r="B33" s="31" t="str">
        <f t="shared" si="6"/>
        <v/>
      </c>
      <c r="C33" s="66" t="str">
        <f t="shared" si="10"/>
        <v/>
      </c>
      <c r="D33" s="92"/>
      <c r="E33" s="93"/>
      <c r="F33" s="93"/>
      <c r="G33" s="93"/>
      <c r="H33" s="94"/>
      <c r="I33" s="93"/>
      <c r="J33" s="93"/>
      <c r="K33" s="93"/>
      <c r="L33" s="93"/>
      <c r="M33" s="93"/>
      <c r="N33" s="95"/>
      <c r="O33" s="95" t="str">
        <f>IF(N33="","",IF('Event Dataset'!N33&lt;='Drop Downs and Assumptions'!$K$2,'Drop Downs and Assumptions'!$L$2,IF(AND('Event Dataset'!N33&gt;='Drop Downs and Assumptions'!$J$3,'Event Dataset'!N33&lt;='Drop Downs and Assumptions'!$K$3),'Drop Downs and Assumptions'!$L$3,IF(AND('Event Dataset'!N33&gt;='Drop Downs and Assumptions'!$J$4,'Event Dataset'!N33&lt;='Drop Downs and Assumptions'!$K$4),'Drop Downs and Assumptions'!$L$4,IF('Event Dataset'!N33&gt;='Drop Downs and Assumptions'!$J$5,'Drop Downs and Assumptions'!$L$5,"")))))</f>
        <v/>
      </c>
      <c r="P33" s="96"/>
      <c r="Q33" s="97"/>
      <c r="R33" s="98"/>
      <c r="S33" s="99"/>
      <c r="T33" s="99"/>
      <c r="U33" s="99"/>
      <c r="V33" s="99"/>
      <c r="W33" s="99"/>
      <c r="X33" s="99"/>
      <c r="Y33" s="99"/>
      <c r="Z33" s="99"/>
      <c r="AA33" s="99"/>
      <c r="AB33" s="99"/>
      <c r="AC33" s="100"/>
      <c r="AD33" s="101" t="str">
        <f t="shared" si="11"/>
        <v/>
      </c>
      <c r="AE33" s="102" t="str">
        <f t="shared" si="12"/>
        <v/>
      </c>
      <c r="AF33" s="103" t="str">
        <f t="shared" si="13"/>
        <v/>
      </c>
      <c r="AG33" s="104" t="str">
        <f t="shared" si="4"/>
        <v/>
      </c>
    </row>
    <row r="34" spans="1:33" x14ac:dyDescent="0.25">
      <c r="A34" s="4">
        <f t="shared" si="5"/>
        <v>31</v>
      </c>
      <c r="B34" s="30" t="str">
        <f t="shared" si="6"/>
        <v/>
      </c>
      <c r="C34" s="67" t="str">
        <f t="shared" si="10"/>
        <v/>
      </c>
      <c r="D34" s="105"/>
      <c r="E34" s="106"/>
      <c r="F34" s="106"/>
      <c r="G34" s="106"/>
      <c r="H34" s="107"/>
      <c r="I34" s="106"/>
      <c r="J34" s="106"/>
      <c r="K34" s="106"/>
      <c r="L34" s="106"/>
      <c r="M34" s="106"/>
      <c r="N34" s="108"/>
      <c r="O34" s="108" t="str">
        <f>IF(N34="","",IF('Event Dataset'!N34&lt;='Drop Downs and Assumptions'!$K$2,'Drop Downs and Assumptions'!$L$2,IF(AND('Event Dataset'!N34&gt;='Drop Downs and Assumptions'!$J$3,'Event Dataset'!N34&lt;='Drop Downs and Assumptions'!$K$3),'Drop Downs and Assumptions'!$L$3,IF(AND('Event Dataset'!N34&gt;='Drop Downs and Assumptions'!$J$4,'Event Dataset'!N34&lt;='Drop Downs and Assumptions'!$K$4),'Drop Downs and Assumptions'!$L$4,IF('Event Dataset'!N34&gt;='Drop Downs and Assumptions'!$J$5,'Drop Downs and Assumptions'!$L$5,"")))))</f>
        <v/>
      </c>
      <c r="P34" s="109"/>
      <c r="Q34" s="97"/>
      <c r="R34" s="110"/>
      <c r="S34" s="111"/>
      <c r="T34" s="111"/>
      <c r="U34" s="111"/>
      <c r="V34" s="111"/>
      <c r="W34" s="111"/>
      <c r="X34" s="111"/>
      <c r="Y34" s="111"/>
      <c r="Z34" s="111"/>
      <c r="AA34" s="111"/>
      <c r="AB34" s="111"/>
      <c r="AC34" s="112"/>
      <c r="AD34" s="113" t="str">
        <f t="shared" si="11"/>
        <v/>
      </c>
      <c r="AE34" s="114" t="str">
        <f t="shared" si="12"/>
        <v/>
      </c>
      <c r="AF34" s="115" t="str">
        <f t="shared" si="13"/>
        <v/>
      </c>
      <c r="AG34" s="116" t="str">
        <f t="shared" si="4"/>
        <v/>
      </c>
    </row>
    <row r="35" spans="1:33" x14ac:dyDescent="0.25">
      <c r="A35" s="16">
        <f t="shared" si="5"/>
        <v>32</v>
      </c>
      <c r="B35" s="31" t="str">
        <f t="shared" si="6"/>
        <v/>
      </c>
      <c r="C35" s="66" t="str">
        <f t="shared" si="10"/>
        <v/>
      </c>
      <c r="D35" s="92"/>
      <c r="E35" s="93"/>
      <c r="F35" s="93"/>
      <c r="G35" s="93"/>
      <c r="H35" s="94"/>
      <c r="I35" s="93"/>
      <c r="J35" s="93"/>
      <c r="K35" s="93"/>
      <c r="L35" s="93"/>
      <c r="M35" s="93"/>
      <c r="N35" s="95"/>
      <c r="O35" s="95" t="str">
        <f>IF(N35="","",IF('Event Dataset'!N35&lt;='Drop Downs and Assumptions'!$K$2,'Drop Downs and Assumptions'!$L$2,IF(AND('Event Dataset'!N35&gt;='Drop Downs and Assumptions'!$J$3,'Event Dataset'!N35&lt;='Drop Downs and Assumptions'!$K$3),'Drop Downs and Assumptions'!$L$3,IF(AND('Event Dataset'!N35&gt;='Drop Downs and Assumptions'!$J$4,'Event Dataset'!N35&lt;='Drop Downs and Assumptions'!$K$4),'Drop Downs and Assumptions'!$L$4,IF('Event Dataset'!N35&gt;='Drop Downs and Assumptions'!$J$5,'Drop Downs and Assumptions'!$L$5,"")))))</f>
        <v/>
      </c>
      <c r="P35" s="96"/>
      <c r="Q35" s="97"/>
      <c r="R35" s="98"/>
      <c r="S35" s="99"/>
      <c r="T35" s="99"/>
      <c r="U35" s="99"/>
      <c r="V35" s="99"/>
      <c r="W35" s="99"/>
      <c r="X35" s="99"/>
      <c r="Y35" s="99"/>
      <c r="Z35" s="99"/>
      <c r="AA35" s="99"/>
      <c r="AB35" s="99"/>
      <c r="AC35" s="100"/>
      <c r="AD35" s="101" t="str">
        <f t="shared" si="11"/>
        <v/>
      </c>
      <c r="AE35" s="102" t="str">
        <f t="shared" si="12"/>
        <v/>
      </c>
      <c r="AF35" s="103" t="str">
        <f t="shared" si="13"/>
        <v/>
      </c>
      <c r="AG35" s="104" t="str">
        <f t="shared" si="4"/>
        <v/>
      </c>
    </row>
    <row r="36" spans="1:33" x14ac:dyDescent="0.25">
      <c r="A36" s="4">
        <f t="shared" si="5"/>
        <v>33</v>
      </c>
      <c r="B36" s="30" t="str">
        <f t="shared" si="6"/>
        <v/>
      </c>
      <c r="C36" s="67" t="str">
        <f t="shared" si="10"/>
        <v/>
      </c>
      <c r="D36" s="105"/>
      <c r="E36" s="106"/>
      <c r="F36" s="106"/>
      <c r="G36" s="106"/>
      <c r="H36" s="107"/>
      <c r="I36" s="106"/>
      <c r="J36" s="106"/>
      <c r="K36" s="106"/>
      <c r="L36" s="106"/>
      <c r="M36" s="106"/>
      <c r="N36" s="108"/>
      <c r="O36" s="108" t="str">
        <f>IF(N36="","",IF('Event Dataset'!N36&lt;='Drop Downs and Assumptions'!$K$2,'Drop Downs and Assumptions'!$L$2,IF(AND('Event Dataset'!N36&gt;='Drop Downs and Assumptions'!$J$3,'Event Dataset'!N36&lt;='Drop Downs and Assumptions'!$K$3),'Drop Downs and Assumptions'!$L$3,IF(AND('Event Dataset'!N36&gt;='Drop Downs and Assumptions'!$J$4,'Event Dataset'!N36&lt;='Drop Downs and Assumptions'!$K$4),'Drop Downs and Assumptions'!$L$4,IF('Event Dataset'!N36&gt;='Drop Downs and Assumptions'!$J$5,'Drop Downs and Assumptions'!$L$5,"")))))</f>
        <v/>
      </c>
      <c r="P36" s="109"/>
      <c r="Q36" s="97"/>
      <c r="R36" s="110"/>
      <c r="S36" s="111"/>
      <c r="T36" s="111"/>
      <c r="U36" s="111"/>
      <c r="V36" s="111"/>
      <c r="W36" s="111"/>
      <c r="X36" s="111"/>
      <c r="Y36" s="111"/>
      <c r="Z36" s="111"/>
      <c r="AA36" s="111"/>
      <c r="AB36" s="111"/>
      <c r="AC36" s="112"/>
      <c r="AD36" s="113" t="str">
        <f t="shared" si="11"/>
        <v/>
      </c>
      <c r="AE36" s="114" t="str">
        <f t="shared" si="12"/>
        <v/>
      </c>
      <c r="AF36" s="115" t="str">
        <f t="shared" si="13"/>
        <v/>
      </c>
      <c r="AG36" s="116" t="str">
        <f t="shared" si="4"/>
        <v/>
      </c>
    </row>
    <row r="37" spans="1:33" x14ac:dyDescent="0.25">
      <c r="A37" s="16">
        <f t="shared" si="5"/>
        <v>34</v>
      </c>
      <c r="B37" s="31" t="str">
        <f t="shared" si="6"/>
        <v/>
      </c>
      <c r="C37" s="66" t="str">
        <f t="shared" si="10"/>
        <v/>
      </c>
      <c r="D37" s="92"/>
      <c r="E37" s="93"/>
      <c r="F37" s="93"/>
      <c r="G37" s="93"/>
      <c r="H37" s="94"/>
      <c r="I37" s="93"/>
      <c r="J37" s="93"/>
      <c r="K37" s="93"/>
      <c r="L37" s="93"/>
      <c r="M37" s="93"/>
      <c r="N37" s="95"/>
      <c r="O37" s="95" t="str">
        <f>IF(N37="","",IF('Event Dataset'!N37&lt;='Drop Downs and Assumptions'!$K$2,'Drop Downs and Assumptions'!$L$2,IF(AND('Event Dataset'!N37&gt;='Drop Downs and Assumptions'!$J$3,'Event Dataset'!N37&lt;='Drop Downs and Assumptions'!$K$3),'Drop Downs and Assumptions'!$L$3,IF(AND('Event Dataset'!N37&gt;='Drop Downs and Assumptions'!$J$4,'Event Dataset'!N37&lt;='Drop Downs and Assumptions'!$K$4),'Drop Downs and Assumptions'!$L$4,IF('Event Dataset'!N37&gt;='Drop Downs and Assumptions'!$J$5,'Drop Downs and Assumptions'!$L$5,"")))))</f>
        <v/>
      </c>
      <c r="P37" s="96"/>
      <c r="Q37" s="97"/>
      <c r="R37" s="98"/>
      <c r="S37" s="99"/>
      <c r="T37" s="99"/>
      <c r="U37" s="99"/>
      <c r="V37" s="99"/>
      <c r="W37" s="99"/>
      <c r="X37" s="99"/>
      <c r="Y37" s="99"/>
      <c r="Z37" s="99"/>
      <c r="AA37" s="99"/>
      <c r="AB37" s="99"/>
      <c r="AC37" s="100"/>
      <c r="AD37" s="101" t="str">
        <f t="shared" si="11"/>
        <v/>
      </c>
      <c r="AE37" s="102" t="str">
        <f t="shared" si="12"/>
        <v/>
      </c>
      <c r="AF37" s="103" t="str">
        <f t="shared" si="13"/>
        <v/>
      </c>
      <c r="AG37" s="104" t="str">
        <f t="shared" si="4"/>
        <v/>
      </c>
    </row>
    <row r="38" spans="1:33" x14ac:dyDescent="0.25">
      <c r="A38" s="4">
        <f t="shared" si="5"/>
        <v>35</v>
      </c>
      <c r="B38" s="30" t="str">
        <f t="shared" si="6"/>
        <v/>
      </c>
      <c r="C38" s="67" t="str">
        <f t="shared" si="10"/>
        <v/>
      </c>
      <c r="D38" s="105"/>
      <c r="E38" s="106"/>
      <c r="F38" s="106"/>
      <c r="G38" s="106"/>
      <c r="H38" s="107"/>
      <c r="I38" s="106"/>
      <c r="J38" s="106"/>
      <c r="K38" s="106"/>
      <c r="L38" s="106"/>
      <c r="M38" s="106"/>
      <c r="N38" s="108"/>
      <c r="O38" s="108" t="str">
        <f>IF(N38="","",IF('Event Dataset'!N38&lt;='Drop Downs and Assumptions'!$K$2,'Drop Downs and Assumptions'!$L$2,IF(AND('Event Dataset'!N38&gt;='Drop Downs and Assumptions'!$J$3,'Event Dataset'!N38&lt;='Drop Downs and Assumptions'!$K$3),'Drop Downs and Assumptions'!$L$3,IF(AND('Event Dataset'!N38&gt;='Drop Downs and Assumptions'!$J$4,'Event Dataset'!N38&lt;='Drop Downs and Assumptions'!$K$4),'Drop Downs and Assumptions'!$L$4,IF('Event Dataset'!N38&gt;='Drop Downs and Assumptions'!$J$5,'Drop Downs and Assumptions'!$L$5,"")))))</f>
        <v/>
      </c>
      <c r="P38" s="109"/>
      <c r="Q38" s="97"/>
      <c r="R38" s="110"/>
      <c r="S38" s="111"/>
      <c r="T38" s="111"/>
      <c r="U38" s="111"/>
      <c r="V38" s="111"/>
      <c r="W38" s="111"/>
      <c r="X38" s="111"/>
      <c r="Y38" s="111"/>
      <c r="Z38" s="111"/>
      <c r="AA38" s="111"/>
      <c r="AB38" s="111"/>
      <c r="AC38" s="112"/>
      <c r="AD38" s="113" t="str">
        <f t="shared" si="11"/>
        <v/>
      </c>
      <c r="AE38" s="114" t="str">
        <f t="shared" si="12"/>
        <v/>
      </c>
      <c r="AF38" s="115" t="str">
        <f t="shared" si="13"/>
        <v/>
      </c>
      <c r="AG38" s="116" t="str">
        <f t="shared" si="4"/>
        <v/>
      </c>
    </row>
    <row r="39" spans="1:33" x14ac:dyDescent="0.25">
      <c r="A39" s="16">
        <f t="shared" si="5"/>
        <v>36</v>
      </c>
      <c r="B39" s="31" t="str">
        <f t="shared" si="6"/>
        <v/>
      </c>
      <c r="C39" s="66" t="str">
        <f t="shared" si="10"/>
        <v/>
      </c>
      <c r="D39" s="92"/>
      <c r="E39" s="93"/>
      <c r="F39" s="93"/>
      <c r="G39" s="93"/>
      <c r="H39" s="94"/>
      <c r="I39" s="93"/>
      <c r="J39" s="93"/>
      <c r="K39" s="93"/>
      <c r="L39" s="93"/>
      <c r="M39" s="93"/>
      <c r="N39" s="95"/>
      <c r="O39" s="95" t="str">
        <f>IF(N39="","",IF('Event Dataset'!N39&lt;='Drop Downs and Assumptions'!$K$2,'Drop Downs and Assumptions'!$L$2,IF(AND('Event Dataset'!N39&gt;='Drop Downs and Assumptions'!$J$3,'Event Dataset'!N39&lt;='Drop Downs and Assumptions'!$K$3),'Drop Downs and Assumptions'!$L$3,IF(AND('Event Dataset'!N39&gt;='Drop Downs and Assumptions'!$J$4,'Event Dataset'!N39&lt;='Drop Downs and Assumptions'!$K$4),'Drop Downs and Assumptions'!$L$4,IF('Event Dataset'!N39&gt;='Drop Downs and Assumptions'!$J$5,'Drop Downs and Assumptions'!$L$5,"")))))</f>
        <v/>
      </c>
      <c r="P39" s="96"/>
      <c r="Q39" s="97"/>
      <c r="R39" s="98"/>
      <c r="S39" s="99"/>
      <c r="T39" s="99"/>
      <c r="U39" s="99"/>
      <c r="V39" s="99"/>
      <c r="W39" s="99"/>
      <c r="X39" s="99"/>
      <c r="Y39" s="99"/>
      <c r="Z39" s="99"/>
      <c r="AA39" s="99"/>
      <c r="AB39" s="99"/>
      <c r="AC39" s="100"/>
      <c r="AD39" s="101" t="str">
        <f t="shared" si="11"/>
        <v/>
      </c>
      <c r="AE39" s="102" t="str">
        <f t="shared" si="12"/>
        <v/>
      </c>
      <c r="AF39" s="103" t="str">
        <f t="shared" si="13"/>
        <v/>
      </c>
      <c r="AG39" s="104" t="str">
        <f t="shared" si="4"/>
        <v/>
      </c>
    </row>
    <row r="40" spans="1:33" x14ac:dyDescent="0.25">
      <c r="A40" s="4">
        <f t="shared" si="5"/>
        <v>37</v>
      </c>
      <c r="B40" s="30" t="str">
        <f t="shared" si="6"/>
        <v/>
      </c>
      <c r="C40" s="67" t="str">
        <f t="shared" si="10"/>
        <v/>
      </c>
      <c r="D40" s="105"/>
      <c r="E40" s="106"/>
      <c r="F40" s="106"/>
      <c r="G40" s="106"/>
      <c r="H40" s="107"/>
      <c r="I40" s="106"/>
      <c r="J40" s="106"/>
      <c r="K40" s="106"/>
      <c r="L40" s="106"/>
      <c r="M40" s="106"/>
      <c r="N40" s="108"/>
      <c r="O40" s="108" t="str">
        <f>IF(N40="","",IF('Event Dataset'!N40&lt;='Drop Downs and Assumptions'!$K$2,'Drop Downs and Assumptions'!$L$2,IF(AND('Event Dataset'!N40&gt;='Drop Downs and Assumptions'!$J$3,'Event Dataset'!N40&lt;='Drop Downs and Assumptions'!$K$3),'Drop Downs and Assumptions'!$L$3,IF(AND('Event Dataset'!N40&gt;='Drop Downs and Assumptions'!$J$4,'Event Dataset'!N40&lt;='Drop Downs and Assumptions'!$K$4),'Drop Downs and Assumptions'!$L$4,IF('Event Dataset'!N40&gt;='Drop Downs and Assumptions'!$J$5,'Drop Downs and Assumptions'!$L$5,"")))))</f>
        <v/>
      </c>
      <c r="P40" s="109"/>
      <c r="Q40" s="97"/>
      <c r="R40" s="110"/>
      <c r="S40" s="111"/>
      <c r="T40" s="111"/>
      <c r="U40" s="111"/>
      <c r="V40" s="111"/>
      <c r="W40" s="111"/>
      <c r="X40" s="111"/>
      <c r="Y40" s="111"/>
      <c r="Z40" s="111"/>
      <c r="AA40" s="111"/>
      <c r="AB40" s="111"/>
      <c r="AC40" s="112"/>
      <c r="AD40" s="113" t="str">
        <f t="shared" si="11"/>
        <v/>
      </c>
      <c r="AE40" s="114" t="str">
        <f t="shared" si="12"/>
        <v/>
      </c>
      <c r="AF40" s="115" t="str">
        <f t="shared" si="13"/>
        <v/>
      </c>
      <c r="AG40" s="116" t="str">
        <f t="shared" si="4"/>
        <v/>
      </c>
    </row>
    <row r="41" spans="1:33" x14ac:dyDescent="0.25">
      <c r="A41" s="16">
        <f t="shared" si="5"/>
        <v>38</v>
      </c>
      <c r="B41" s="31" t="str">
        <f t="shared" si="6"/>
        <v/>
      </c>
      <c r="C41" s="66" t="str">
        <f t="shared" si="10"/>
        <v/>
      </c>
      <c r="D41" s="92"/>
      <c r="E41" s="93"/>
      <c r="F41" s="93"/>
      <c r="G41" s="93"/>
      <c r="H41" s="94"/>
      <c r="I41" s="93"/>
      <c r="J41" s="93"/>
      <c r="K41" s="93"/>
      <c r="L41" s="93"/>
      <c r="M41" s="93"/>
      <c r="N41" s="95"/>
      <c r="O41" s="95" t="str">
        <f>IF(N41="","",IF('Event Dataset'!N41&lt;='Drop Downs and Assumptions'!$K$2,'Drop Downs and Assumptions'!$L$2,IF(AND('Event Dataset'!N41&gt;='Drop Downs and Assumptions'!$J$3,'Event Dataset'!N41&lt;='Drop Downs and Assumptions'!$K$3),'Drop Downs and Assumptions'!$L$3,IF(AND('Event Dataset'!N41&gt;='Drop Downs and Assumptions'!$J$4,'Event Dataset'!N41&lt;='Drop Downs and Assumptions'!$K$4),'Drop Downs and Assumptions'!$L$4,IF('Event Dataset'!N41&gt;='Drop Downs and Assumptions'!$J$5,'Drop Downs and Assumptions'!$L$5,"")))))</f>
        <v/>
      </c>
      <c r="P41" s="96"/>
      <c r="Q41" s="97"/>
      <c r="R41" s="98"/>
      <c r="S41" s="99"/>
      <c r="T41" s="99"/>
      <c r="U41" s="99"/>
      <c r="V41" s="99"/>
      <c r="W41" s="99"/>
      <c r="X41" s="99"/>
      <c r="Y41" s="99"/>
      <c r="Z41" s="99"/>
      <c r="AA41" s="99"/>
      <c r="AB41" s="99"/>
      <c r="AC41" s="100"/>
      <c r="AD41" s="101" t="str">
        <f t="shared" si="11"/>
        <v/>
      </c>
      <c r="AE41" s="102" t="str">
        <f t="shared" si="12"/>
        <v/>
      </c>
      <c r="AF41" s="103" t="str">
        <f t="shared" si="13"/>
        <v/>
      </c>
      <c r="AG41" s="104" t="str">
        <f t="shared" si="4"/>
        <v/>
      </c>
    </row>
    <row r="42" spans="1:33" x14ac:dyDescent="0.25">
      <c r="A42" s="4">
        <f t="shared" si="5"/>
        <v>39</v>
      </c>
      <c r="B42" s="30" t="str">
        <f t="shared" si="6"/>
        <v/>
      </c>
      <c r="C42" s="67" t="str">
        <f t="shared" si="10"/>
        <v/>
      </c>
      <c r="D42" s="105"/>
      <c r="E42" s="106"/>
      <c r="F42" s="106"/>
      <c r="G42" s="106"/>
      <c r="H42" s="107"/>
      <c r="I42" s="106"/>
      <c r="J42" s="106"/>
      <c r="K42" s="106"/>
      <c r="L42" s="106"/>
      <c r="M42" s="106"/>
      <c r="N42" s="108"/>
      <c r="O42" s="108" t="str">
        <f>IF(N42="","",IF('Event Dataset'!N42&lt;='Drop Downs and Assumptions'!$K$2,'Drop Downs and Assumptions'!$L$2,IF(AND('Event Dataset'!N42&gt;='Drop Downs and Assumptions'!$J$3,'Event Dataset'!N42&lt;='Drop Downs and Assumptions'!$K$3),'Drop Downs and Assumptions'!$L$3,IF(AND('Event Dataset'!N42&gt;='Drop Downs and Assumptions'!$J$4,'Event Dataset'!N42&lt;='Drop Downs and Assumptions'!$K$4),'Drop Downs and Assumptions'!$L$4,IF('Event Dataset'!N42&gt;='Drop Downs and Assumptions'!$J$5,'Drop Downs and Assumptions'!$L$5,"")))))</f>
        <v/>
      </c>
      <c r="P42" s="109"/>
      <c r="Q42" s="97"/>
      <c r="R42" s="110"/>
      <c r="S42" s="111"/>
      <c r="T42" s="111"/>
      <c r="U42" s="111"/>
      <c r="V42" s="111"/>
      <c r="W42" s="111"/>
      <c r="X42" s="111"/>
      <c r="Y42" s="111"/>
      <c r="Z42" s="111"/>
      <c r="AA42" s="111"/>
      <c r="AB42" s="111"/>
      <c r="AC42" s="112"/>
      <c r="AD42" s="113" t="str">
        <f t="shared" si="11"/>
        <v/>
      </c>
      <c r="AE42" s="114" t="str">
        <f t="shared" si="12"/>
        <v/>
      </c>
      <c r="AF42" s="115" t="str">
        <f t="shared" si="13"/>
        <v/>
      </c>
      <c r="AG42" s="116" t="str">
        <f t="shared" si="4"/>
        <v/>
      </c>
    </row>
    <row r="43" spans="1:33" x14ac:dyDescent="0.25">
      <c r="A43" s="16">
        <f t="shared" si="5"/>
        <v>40</v>
      </c>
      <c r="B43" s="31" t="str">
        <f t="shared" si="6"/>
        <v/>
      </c>
      <c r="C43" s="66" t="str">
        <f t="shared" si="10"/>
        <v/>
      </c>
      <c r="D43" s="92"/>
      <c r="E43" s="93"/>
      <c r="F43" s="93"/>
      <c r="G43" s="93"/>
      <c r="H43" s="94"/>
      <c r="I43" s="93"/>
      <c r="J43" s="93"/>
      <c r="K43" s="93"/>
      <c r="L43" s="93"/>
      <c r="M43" s="93"/>
      <c r="N43" s="95"/>
      <c r="O43" s="95" t="str">
        <f>IF(N43="","",IF('Event Dataset'!N43&lt;='Drop Downs and Assumptions'!$K$2,'Drop Downs and Assumptions'!$L$2,IF(AND('Event Dataset'!N43&gt;='Drop Downs and Assumptions'!$J$3,'Event Dataset'!N43&lt;='Drop Downs and Assumptions'!$K$3),'Drop Downs and Assumptions'!$L$3,IF(AND('Event Dataset'!N43&gt;='Drop Downs and Assumptions'!$J$4,'Event Dataset'!N43&lt;='Drop Downs and Assumptions'!$K$4),'Drop Downs and Assumptions'!$L$4,IF('Event Dataset'!N43&gt;='Drop Downs and Assumptions'!$J$5,'Drop Downs and Assumptions'!$L$5,"")))))</f>
        <v/>
      </c>
      <c r="P43" s="96"/>
      <c r="Q43" s="97"/>
      <c r="R43" s="98"/>
      <c r="S43" s="99"/>
      <c r="T43" s="99"/>
      <c r="U43" s="99"/>
      <c r="V43" s="99"/>
      <c r="W43" s="99"/>
      <c r="X43" s="99"/>
      <c r="Y43" s="99"/>
      <c r="Z43" s="99"/>
      <c r="AA43" s="99"/>
      <c r="AB43" s="99"/>
      <c r="AC43" s="100"/>
      <c r="AD43" s="101" t="str">
        <f t="shared" si="11"/>
        <v/>
      </c>
      <c r="AE43" s="102" t="str">
        <f t="shared" si="12"/>
        <v/>
      </c>
      <c r="AF43" s="103" t="str">
        <f t="shared" si="13"/>
        <v/>
      </c>
      <c r="AG43" s="104" t="str">
        <f t="shared" si="4"/>
        <v/>
      </c>
    </row>
    <row r="44" spans="1:33" x14ac:dyDescent="0.25">
      <c r="A44" s="4">
        <f t="shared" si="5"/>
        <v>41</v>
      </c>
      <c r="B44" s="30" t="str">
        <f t="shared" si="6"/>
        <v/>
      </c>
      <c r="C44" s="67" t="str">
        <f t="shared" si="10"/>
        <v/>
      </c>
      <c r="D44" s="105"/>
      <c r="E44" s="106"/>
      <c r="F44" s="106"/>
      <c r="G44" s="106"/>
      <c r="H44" s="107"/>
      <c r="I44" s="106"/>
      <c r="J44" s="106"/>
      <c r="K44" s="106"/>
      <c r="L44" s="106"/>
      <c r="M44" s="106"/>
      <c r="N44" s="108"/>
      <c r="O44" s="108" t="str">
        <f>IF(N44="","",IF('Event Dataset'!N44&lt;='Drop Downs and Assumptions'!$K$2,'Drop Downs and Assumptions'!$L$2,IF(AND('Event Dataset'!N44&gt;='Drop Downs and Assumptions'!$J$3,'Event Dataset'!N44&lt;='Drop Downs and Assumptions'!$K$3),'Drop Downs and Assumptions'!$L$3,IF(AND('Event Dataset'!N44&gt;='Drop Downs and Assumptions'!$J$4,'Event Dataset'!N44&lt;='Drop Downs and Assumptions'!$K$4),'Drop Downs and Assumptions'!$L$4,IF('Event Dataset'!N44&gt;='Drop Downs and Assumptions'!$J$5,'Drop Downs and Assumptions'!$L$5,"")))))</f>
        <v/>
      </c>
      <c r="P44" s="109"/>
      <c r="Q44" s="97"/>
      <c r="R44" s="110"/>
      <c r="S44" s="111"/>
      <c r="T44" s="111"/>
      <c r="U44" s="111"/>
      <c r="V44" s="111"/>
      <c r="W44" s="111"/>
      <c r="X44" s="111"/>
      <c r="Y44" s="111"/>
      <c r="Z44" s="111"/>
      <c r="AA44" s="111"/>
      <c r="AB44" s="111"/>
      <c r="AC44" s="112"/>
      <c r="AD44" s="113" t="str">
        <f t="shared" si="11"/>
        <v/>
      </c>
      <c r="AE44" s="114" t="str">
        <f t="shared" si="12"/>
        <v/>
      </c>
      <c r="AF44" s="115" t="str">
        <f t="shared" si="13"/>
        <v/>
      </c>
      <c r="AG44" s="116" t="str">
        <f t="shared" si="4"/>
        <v/>
      </c>
    </row>
    <row r="45" spans="1:33" x14ac:dyDescent="0.25">
      <c r="A45" s="16">
        <f t="shared" si="5"/>
        <v>42</v>
      </c>
      <c r="B45" s="31" t="str">
        <f t="shared" si="6"/>
        <v/>
      </c>
      <c r="C45" s="66" t="str">
        <f t="shared" si="10"/>
        <v/>
      </c>
      <c r="D45" s="92"/>
      <c r="E45" s="93"/>
      <c r="F45" s="93"/>
      <c r="G45" s="93"/>
      <c r="H45" s="94"/>
      <c r="I45" s="93"/>
      <c r="J45" s="93"/>
      <c r="K45" s="93"/>
      <c r="L45" s="93"/>
      <c r="M45" s="93"/>
      <c r="N45" s="95"/>
      <c r="O45" s="95" t="str">
        <f>IF(N45="","",IF('Event Dataset'!N45&lt;='Drop Downs and Assumptions'!$K$2,'Drop Downs and Assumptions'!$L$2,IF(AND('Event Dataset'!N45&gt;='Drop Downs and Assumptions'!$J$3,'Event Dataset'!N45&lt;='Drop Downs and Assumptions'!$K$3),'Drop Downs and Assumptions'!$L$3,IF(AND('Event Dataset'!N45&gt;='Drop Downs and Assumptions'!$J$4,'Event Dataset'!N45&lt;='Drop Downs and Assumptions'!$K$4),'Drop Downs and Assumptions'!$L$4,IF('Event Dataset'!N45&gt;='Drop Downs and Assumptions'!$J$5,'Drop Downs and Assumptions'!$L$5,"")))))</f>
        <v/>
      </c>
      <c r="P45" s="96"/>
      <c r="Q45" s="97"/>
      <c r="R45" s="98"/>
      <c r="S45" s="99"/>
      <c r="T45" s="99"/>
      <c r="U45" s="99"/>
      <c r="V45" s="99"/>
      <c r="W45" s="99"/>
      <c r="X45" s="99"/>
      <c r="Y45" s="99"/>
      <c r="Z45" s="99"/>
      <c r="AA45" s="99"/>
      <c r="AB45" s="99"/>
      <c r="AC45" s="100"/>
      <c r="AD45" s="101" t="str">
        <f t="shared" si="11"/>
        <v/>
      </c>
      <c r="AE45" s="102" t="str">
        <f t="shared" si="12"/>
        <v/>
      </c>
      <c r="AF45" s="103" t="str">
        <f t="shared" si="13"/>
        <v/>
      </c>
      <c r="AG45" s="104" t="str">
        <f t="shared" si="4"/>
        <v/>
      </c>
    </row>
    <row r="46" spans="1:33" x14ac:dyDescent="0.25">
      <c r="A46" s="4">
        <f t="shared" si="5"/>
        <v>43</v>
      </c>
      <c r="B46" s="30" t="str">
        <f t="shared" si="6"/>
        <v/>
      </c>
      <c r="C46" s="67" t="str">
        <f t="shared" si="10"/>
        <v/>
      </c>
      <c r="D46" s="105"/>
      <c r="E46" s="106"/>
      <c r="F46" s="106"/>
      <c r="G46" s="106"/>
      <c r="H46" s="107"/>
      <c r="I46" s="106"/>
      <c r="J46" s="106"/>
      <c r="K46" s="106"/>
      <c r="L46" s="106"/>
      <c r="M46" s="106"/>
      <c r="N46" s="108"/>
      <c r="O46" s="108" t="str">
        <f>IF(N46="","",IF('Event Dataset'!N46&lt;='Drop Downs and Assumptions'!$K$2,'Drop Downs and Assumptions'!$L$2,IF(AND('Event Dataset'!N46&gt;='Drop Downs and Assumptions'!$J$3,'Event Dataset'!N46&lt;='Drop Downs and Assumptions'!$K$3),'Drop Downs and Assumptions'!$L$3,IF(AND('Event Dataset'!N46&gt;='Drop Downs and Assumptions'!$J$4,'Event Dataset'!N46&lt;='Drop Downs and Assumptions'!$K$4),'Drop Downs and Assumptions'!$L$4,IF('Event Dataset'!N46&gt;='Drop Downs and Assumptions'!$J$5,'Drop Downs and Assumptions'!$L$5,"")))))</f>
        <v/>
      </c>
      <c r="P46" s="109"/>
      <c r="Q46" s="97"/>
      <c r="R46" s="110"/>
      <c r="S46" s="111"/>
      <c r="T46" s="111"/>
      <c r="U46" s="111"/>
      <c r="V46" s="111"/>
      <c r="W46" s="111"/>
      <c r="X46" s="111"/>
      <c r="Y46" s="111"/>
      <c r="Z46" s="111"/>
      <c r="AA46" s="111"/>
      <c r="AB46" s="111"/>
      <c r="AC46" s="112"/>
      <c r="AD46" s="113" t="str">
        <f t="shared" si="11"/>
        <v/>
      </c>
      <c r="AE46" s="114" t="str">
        <f t="shared" si="12"/>
        <v/>
      </c>
      <c r="AF46" s="115" t="str">
        <f t="shared" si="13"/>
        <v/>
      </c>
      <c r="AG46" s="116" t="str">
        <f t="shared" si="4"/>
        <v/>
      </c>
    </row>
    <row r="47" spans="1:33" x14ac:dyDescent="0.25">
      <c r="A47" s="16">
        <f t="shared" si="5"/>
        <v>44</v>
      </c>
      <c r="B47" s="31" t="str">
        <f t="shared" si="6"/>
        <v/>
      </c>
      <c r="C47" s="66" t="str">
        <f t="shared" si="10"/>
        <v/>
      </c>
      <c r="D47" s="92"/>
      <c r="E47" s="93"/>
      <c r="F47" s="93"/>
      <c r="G47" s="93"/>
      <c r="H47" s="94"/>
      <c r="I47" s="93"/>
      <c r="J47" s="93"/>
      <c r="K47" s="93"/>
      <c r="L47" s="93"/>
      <c r="M47" s="93"/>
      <c r="N47" s="95"/>
      <c r="O47" s="95" t="str">
        <f>IF(N47="","",IF('Event Dataset'!N47&lt;='Drop Downs and Assumptions'!$K$2,'Drop Downs and Assumptions'!$L$2,IF(AND('Event Dataset'!N47&gt;='Drop Downs and Assumptions'!$J$3,'Event Dataset'!N47&lt;='Drop Downs and Assumptions'!$K$3),'Drop Downs and Assumptions'!$L$3,IF(AND('Event Dataset'!N47&gt;='Drop Downs and Assumptions'!$J$4,'Event Dataset'!N47&lt;='Drop Downs and Assumptions'!$K$4),'Drop Downs and Assumptions'!$L$4,IF('Event Dataset'!N47&gt;='Drop Downs and Assumptions'!$J$5,'Drop Downs and Assumptions'!$L$5,"")))))</f>
        <v/>
      </c>
      <c r="P47" s="96"/>
      <c r="Q47" s="97"/>
      <c r="R47" s="98"/>
      <c r="S47" s="99"/>
      <c r="T47" s="99"/>
      <c r="U47" s="99"/>
      <c r="V47" s="99"/>
      <c r="W47" s="99"/>
      <c r="X47" s="99"/>
      <c r="Y47" s="99"/>
      <c r="Z47" s="99"/>
      <c r="AA47" s="99"/>
      <c r="AB47" s="99"/>
      <c r="AC47" s="100"/>
      <c r="AD47" s="101" t="str">
        <f t="shared" si="11"/>
        <v/>
      </c>
      <c r="AE47" s="102" t="str">
        <f t="shared" si="12"/>
        <v/>
      </c>
      <c r="AF47" s="103" t="str">
        <f t="shared" si="13"/>
        <v/>
      </c>
      <c r="AG47" s="104" t="str">
        <f t="shared" si="4"/>
        <v/>
      </c>
    </row>
    <row r="48" spans="1:33" x14ac:dyDescent="0.25">
      <c r="A48" s="4">
        <f t="shared" si="5"/>
        <v>45</v>
      </c>
      <c r="B48" s="30" t="str">
        <f t="shared" si="6"/>
        <v/>
      </c>
      <c r="C48" s="67" t="str">
        <f t="shared" ref="C48:C111" si="14">IFERROR(RANK(AG48,$AG$4:$AG$470,1),"")</f>
        <v/>
      </c>
      <c r="D48" s="105"/>
      <c r="E48" s="106"/>
      <c r="F48" s="106"/>
      <c r="G48" s="106"/>
      <c r="H48" s="107"/>
      <c r="I48" s="106"/>
      <c r="J48" s="106"/>
      <c r="K48" s="106"/>
      <c r="L48" s="106"/>
      <c r="M48" s="106"/>
      <c r="N48" s="108"/>
      <c r="O48" s="108" t="str">
        <f>IF(N48="","",IF('Event Dataset'!N48&lt;='Drop Downs and Assumptions'!$K$2,'Drop Downs and Assumptions'!$L$2,IF(AND('Event Dataset'!N48&gt;='Drop Downs and Assumptions'!$J$3,'Event Dataset'!N48&lt;='Drop Downs and Assumptions'!$K$3),'Drop Downs and Assumptions'!$L$3,IF(AND('Event Dataset'!N48&gt;='Drop Downs and Assumptions'!$J$4,'Event Dataset'!N48&lt;='Drop Downs and Assumptions'!$K$4),'Drop Downs and Assumptions'!$L$4,IF('Event Dataset'!N48&gt;='Drop Downs and Assumptions'!$J$5,'Drop Downs and Assumptions'!$L$5,"")))))</f>
        <v/>
      </c>
      <c r="P48" s="109"/>
      <c r="Q48" s="97"/>
      <c r="R48" s="110"/>
      <c r="S48" s="111"/>
      <c r="T48" s="111"/>
      <c r="U48" s="111"/>
      <c r="V48" s="111"/>
      <c r="W48" s="111"/>
      <c r="X48" s="111"/>
      <c r="Y48" s="111"/>
      <c r="Z48" s="111"/>
      <c r="AA48" s="111"/>
      <c r="AB48" s="111"/>
      <c r="AC48" s="112"/>
      <c r="AD48" s="113" t="str">
        <f t="shared" ref="AD48:AD111" si="15">IF(SUM(R48:AC48)=0,"",SUM(R48:AC48))</f>
        <v/>
      </c>
      <c r="AE48" s="114" t="str">
        <f t="shared" ref="AE48:AE111" si="16">IFERROR((SUMIF($R$3:$AC$3,"Recycling",$R48:$AC48)+SUMIF($R$3:$AC$3,"Reuse",$R48:$AC48)+SUMIF($R$3:$AC$3,"Alternative Fuels",$R48:$AC48))/AD48,"")</f>
        <v/>
      </c>
      <c r="AF48" s="115" t="str">
        <f t="shared" ref="AF48:AF111" si="17">IFERROR((SUMIF($R$3:$AC$3,"Recycling",$R48:$AC48))/AD48,"")</f>
        <v/>
      </c>
      <c r="AG48" s="116" t="str">
        <f t="shared" si="4"/>
        <v/>
      </c>
    </row>
    <row r="49" spans="1:33" x14ac:dyDescent="0.25">
      <c r="A49" s="16">
        <f t="shared" si="5"/>
        <v>46</v>
      </c>
      <c r="B49" s="31" t="str">
        <f t="shared" si="6"/>
        <v/>
      </c>
      <c r="C49" s="66" t="str">
        <f t="shared" si="14"/>
        <v/>
      </c>
      <c r="D49" s="92"/>
      <c r="E49" s="93"/>
      <c r="F49" s="93"/>
      <c r="G49" s="93"/>
      <c r="H49" s="94"/>
      <c r="I49" s="93"/>
      <c r="J49" s="93"/>
      <c r="K49" s="93"/>
      <c r="L49" s="93"/>
      <c r="M49" s="93"/>
      <c r="N49" s="95"/>
      <c r="O49" s="95" t="str">
        <f>IF(N49="","",IF('Event Dataset'!N49&lt;='Drop Downs and Assumptions'!$K$2,'Drop Downs and Assumptions'!$L$2,IF(AND('Event Dataset'!N49&gt;='Drop Downs and Assumptions'!$J$3,'Event Dataset'!N49&lt;='Drop Downs and Assumptions'!$K$3),'Drop Downs and Assumptions'!$L$3,IF(AND('Event Dataset'!N49&gt;='Drop Downs and Assumptions'!$J$4,'Event Dataset'!N49&lt;='Drop Downs and Assumptions'!$K$4),'Drop Downs and Assumptions'!$L$4,IF('Event Dataset'!N49&gt;='Drop Downs and Assumptions'!$J$5,'Drop Downs and Assumptions'!$L$5,"")))))</f>
        <v/>
      </c>
      <c r="P49" s="96"/>
      <c r="Q49" s="97"/>
      <c r="R49" s="98"/>
      <c r="S49" s="99"/>
      <c r="T49" s="99"/>
      <c r="U49" s="99"/>
      <c r="V49" s="99"/>
      <c r="W49" s="99"/>
      <c r="X49" s="99"/>
      <c r="Y49" s="99"/>
      <c r="Z49" s="99"/>
      <c r="AA49" s="99"/>
      <c r="AB49" s="99"/>
      <c r="AC49" s="100"/>
      <c r="AD49" s="101" t="str">
        <f t="shared" si="15"/>
        <v/>
      </c>
      <c r="AE49" s="102" t="str">
        <f t="shared" si="16"/>
        <v/>
      </c>
      <c r="AF49" s="103" t="str">
        <f t="shared" si="17"/>
        <v/>
      </c>
      <c r="AG49" s="104" t="str">
        <f t="shared" si="4"/>
        <v/>
      </c>
    </row>
    <row r="50" spans="1:33" x14ac:dyDescent="0.25">
      <c r="A50" s="4">
        <f t="shared" si="5"/>
        <v>47</v>
      </c>
      <c r="B50" s="30" t="str">
        <f t="shared" si="6"/>
        <v/>
      </c>
      <c r="C50" s="67" t="str">
        <f t="shared" si="14"/>
        <v/>
      </c>
      <c r="D50" s="105"/>
      <c r="E50" s="106"/>
      <c r="F50" s="106"/>
      <c r="G50" s="106"/>
      <c r="H50" s="107"/>
      <c r="I50" s="106"/>
      <c r="J50" s="106"/>
      <c r="K50" s="106"/>
      <c r="L50" s="106"/>
      <c r="M50" s="106"/>
      <c r="N50" s="108"/>
      <c r="O50" s="108" t="str">
        <f>IF(N50="","",IF('Event Dataset'!N50&lt;='Drop Downs and Assumptions'!$K$2,'Drop Downs and Assumptions'!$L$2,IF(AND('Event Dataset'!N50&gt;='Drop Downs and Assumptions'!$J$3,'Event Dataset'!N50&lt;='Drop Downs and Assumptions'!$K$3),'Drop Downs and Assumptions'!$L$3,IF(AND('Event Dataset'!N50&gt;='Drop Downs and Assumptions'!$J$4,'Event Dataset'!N50&lt;='Drop Downs and Assumptions'!$K$4),'Drop Downs and Assumptions'!$L$4,IF('Event Dataset'!N50&gt;='Drop Downs and Assumptions'!$J$5,'Drop Downs and Assumptions'!$L$5,"")))))</f>
        <v/>
      </c>
      <c r="P50" s="109"/>
      <c r="Q50" s="97"/>
      <c r="R50" s="110"/>
      <c r="S50" s="111"/>
      <c r="T50" s="111"/>
      <c r="U50" s="111"/>
      <c r="V50" s="111"/>
      <c r="W50" s="111"/>
      <c r="X50" s="111"/>
      <c r="Y50" s="111"/>
      <c r="Z50" s="111"/>
      <c r="AA50" s="111"/>
      <c r="AB50" s="111"/>
      <c r="AC50" s="112"/>
      <c r="AD50" s="113" t="str">
        <f t="shared" si="15"/>
        <v/>
      </c>
      <c r="AE50" s="114" t="str">
        <f t="shared" si="16"/>
        <v/>
      </c>
      <c r="AF50" s="115" t="str">
        <f t="shared" si="17"/>
        <v/>
      </c>
      <c r="AG50" s="116" t="str">
        <f t="shared" si="4"/>
        <v/>
      </c>
    </row>
    <row r="51" spans="1:33" x14ac:dyDescent="0.25">
      <c r="A51" s="16">
        <f t="shared" si="5"/>
        <v>48</v>
      </c>
      <c r="B51" s="31" t="str">
        <f t="shared" si="6"/>
        <v/>
      </c>
      <c r="C51" s="66" t="str">
        <f t="shared" si="14"/>
        <v/>
      </c>
      <c r="D51" s="92"/>
      <c r="E51" s="93"/>
      <c r="F51" s="93"/>
      <c r="G51" s="93"/>
      <c r="H51" s="94"/>
      <c r="I51" s="93"/>
      <c r="J51" s="93"/>
      <c r="K51" s="93"/>
      <c r="L51" s="93"/>
      <c r="M51" s="93"/>
      <c r="N51" s="95"/>
      <c r="O51" s="95" t="str">
        <f>IF(N51="","",IF('Event Dataset'!N51&lt;='Drop Downs and Assumptions'!$K$2,'Drop Downs and Assumptions'!$L$2,IF(AND('Event Dataset'!N51&gt;='Drop Downs and Assumptions'!$J$3,'Event Dataset'!N51&lt;='Drop Downs and Assumptions'!$K$3),'Drop Downs and Assumptions'!$L$3,IF(AND('Event Dataset'!N51&gt;='Drop Downs and Assumptions'!$J$4,'Event Dataset'!N51&lt;='Drop Downs and Assumptions'!$K$4),'Drop Downs and Assumptions'!$L$4,IF('Event Dataset'!N51&gt;='Drop Downs and Assumptions'!$J$5,'Drop Downs and Assumptions'!$L$5,"")))))</f>
        <v/>
      </c>
      <c r="P51" s="96"/>
      <c r="Q51" s="97"/>
      <c r="R51" s="98"/>
      <c r="S51" s="99"/>
      <c r="T51" s="99"/>
      <c r="U51" s="99"/>
      <c r="V51" s="99"/>
      <c r="W51" s="99"/>
      <c r="X51" s="99"/>
      <c r="Y51" s="99"/>
      <c r="Z51" s="99"/>
      <c r="AA51" s="99"/>
      <c r="AB51" s="99"/>
      <c r="AC51" s="100"/>
      <c r="AD51" s="101" t="str">
        <f t="shared" si="15"/>
        <v/>
      </c>
      <c r="AE51" s="102" t="str">
        <f t="shared" si="16"/>
        <v/>
      </c>
      <c r="AF51" s="103" t="str">
        <f t="shared" si="17"/>
        <v/>
      </c>
      <c r="AG51" s="104" t="str">
        <f t="shared" si="4"/>
        <v/>
      </c>
    </row>
    <row r="52" spans="1:33" x14ac:dyDescent="0.25">
      <c r="A52" s="4">
        <f t="shared" si="5"/>
        <v>49</v>
      </c>
      <c r="B52" s="30" t="str">
        <f t="shared" si="6"/>
        <v/>
      </c>
      <c r="C52" s="67" t="str">
        <f t="shared" si="14"/>
        <v/>
      </c>
      <c r="D52" s="105"/>
      <c r="E52" s="106"/>
      <c r="F52" s="106"/>
      <c r="G52" s="106"/>
      <c r="H52" s="107"/>
      <c r="I52" s="106"/>
      <c r="J52" s="106"/>
      <c r="K52" s="106"/>
      <c r="L52" s="106"/>
      <c r="M52" s="106"/>
      <c r="N52" s="108"/>
      <c r="O52" s="108" t="str">
        <f>IF(N52="","",IF('Event Dataset'!N52&lt;='Drop Downs and Assumptions'!$K$2,'Drop Downs and Assumptions'!$L$2,IF(AND('Event Dataset'!N52&gt;='Drop Downs and Assumptions'!$J$3,'Event Dataset'!N52&lt;='Drop Downs and Assumptions'!$K$3),'Drop Downs and Assumptions'!$L$3,IF(AND('Event Dataset'!N52&gt;='Drop Downs and Assumptions'!$J$4,'Event Dataset'!N52&lt;='Drop Downs and Assumptions'!$K$4),'Drop Downs and Assumptions'!$L$4,IF('Event Dataset'!N52&gt;='Drop Downs and Assumptions'!$J$5,'Drop Downs and Assumptions'!$L$5,"")))))</f>
        <v/>
      </c>
      <c r="P52" s="109"/>
      <c r="Q52" s="97"/>
      <c r="R52" s="110"/>
      <c r="S52" s="111"/>
      <c r="T52" s="111"/>
      <c r="U52" s="111"/>
      <c r="V52" s="111"/>
      <c r="W52" s="111"/>
      <c r="X52" s="111"/>
      <c r="Y52" s="111"/>
      <c r="Z52" s="111"/>
      <c r="AA52" s="111"/>
      <c r="AB52" s="111"/>
      <c r="AC52" s="112"/>
      <c r="AD52" s="113" t="str">
        <f t="shared" si="15"/>
        <v/>
      </c>
      <c r="AE52" s="114" t="str">
        <f t="shared" si="16"/>
        <v/>
      </c>
      <c r="AF52" s="115" t="str">
        <f t="shared" si="17"/>
        <v/>
      </c>
      <c r="AG52" s="116" t="str">
        <f t="shared" si="4"/>
        <v/>
      </c>
    </row>
    <row r="53" spans="1:33" x14ac:dyDescent="0.25">
      <c r="A53" s="16">
        <f t="shared" si="5"/>
        <v>50</v>
      </c>
      <c r="B53" s="31" t="str">
        <f t="shared" si="6"/>
        <v/>
      </c>
      <c r="C53" s="66" t="str">
        <f t="shared" si="14"/>
        <v/>
      </c>
      <c r="D53" s="92"/>
      <c r="E53" s="93"/>
      <c r="F53" s="93"/>
      <c r="G53" s="93"/>
      <c r="H53" s="94"/>
      <c r="I53" s="93"/>
      <c r="J53" s="93"/>
      <c r="K53" s="93"/>
      <c r="L53" s="93"/>
      <c r="M53" s="93"/>
      <c r="N53" s="95"/>
      <c r="O53" s="95" t="str">
        <f>IF(N53="","",IF('Event Dataset'!N53&lt;='Drop Downs and Assumptions'!$K$2,'Drop Downs and Assumptions'!$L$2,IF(AND('Event Dataset'!N53&gt;='Drop Downs and Assumptions'!$J$3,'Event Dataset'!N53&lt;='Drop Downs and Assumptions'!$K$3),'Drop Downs and Assumptions'!$L$3,IF(AND('Event Dataset'!N53&gt;='Drop Downs and Assumptions'!$J$4,'Event Dataset'!N53&lt;='Drop Downs and Assumptions'!$K$4),'Drop Downs and Assumptions'!$L$4,IF('Event Dataset'!N53&gt;='Drop Downs and Assumptions'!$J$5,'Drop Downs and Assumptions'!$L$5,"")))))</f>
        <v/>
      </c>
      <c r="P53" s="96"/>
      <c r="Q53" s="97"/>
      <c r="R53" s="98"/>
      <c r="S53" s="99"/>
      <c r="T53" s="99"/>
      <c r="U53" s="99"/>
      <c r="V53" s="99"/>
      <c r="W53" s="99"/>
      <c r="X53" s="99"/>
      <c r="Y53" s="99"/>
      <c r="Z53" s="99"/>
      <c r="AA53" s="99"/>
      <c r="AB53" s="99"/>
      <c r="AC53" s="100"/>
      <c r="AD53" s="101" t="str">
        <f t="shared" si="15"/>
        <v/>
      </c>
      <c r="AE53" s="102" t="str">
        <f t="shared" si="16"/>
        <v/>
      </c>
      <c r="AF53" s="103" t="str">
        <f t="shared" si="17"/>
        <v/>
      </c>
      <c r="AG53" s="104" t="str">
        <f t="shared" si="4"/>
        <v/>
      </c>
    </row>
    <row r="54" spans="1:33" x14ac:dyDescent="0.25">
      <c r="A54" s="4">
        <f t="shared" si="5"/>
        <v>51</v>
      </c>
      <c r="B54" s="30" t="str">
        <f t="shared" si="6"/>
        <v/>
      </c>
      <c r="C54" s="67" t="str">
        <f t="shared" si="14"/>
        <v/>
      </c>
      <c r="D54" s="105"/>
      <c r="E54" s="106"/>
      <c r="F54" s="106"/>
      <c r="G54" s="106"/>
      <c r="H54" s="107"/>
      <c r="I54" s="106"/>
      <c r="J54" s="106"/>
      <c r="K54" s="106"/>
      <c r="L54" s="106"/>
      <c r="M54" s="106"/>
      <c r="N54" s="108"/>
      <c r="O54" s="108" t="str">
        <f>IF(N54="","",IF('Event Dataset'!N54&lt;='Drop Downs and Assumptions'!$K$2,'Drop Downs and Assumptions'!$L$2,IF(AND('Event Dataset'!N54&gt;='Drop Downs and Assumptions'!$J$3,'Event Dataset'!N54&lt;='Drop Downs and Assumptions'!$K$3),'Drop Downs and Assumptions'!$L$3,IF(AND('Event Dataset'!N54&gt;='Drop Downs and Assumptions'!$J$4,'Event Dataset'!N54&lt;='Drop Downs and Assumptions'!$K$4),'Drop Downs and Assumptions'!$L$4,IF('Event Dataset'!N54&gt;='Drop Downs and Assumptions'!$J$5,'Drop Downs and Assumptions'!$L$5,"")))))</f>
        <v/>
      </c>
      <c r="P54" s="109"/>
      <c r="Q54" s="97"/>
      <c r="R54" s="110"/>
      <c r="S54" s="111"/>
      <c r="T54" s="111"/>
      <c r="U54" s="111"/>
      <c r="V54" s="111"/>
      <c r="W54" s="111"/>
      <c r="X54" s="111"/>
      <c r="Y54" s="111"/>
      <c r="Z54" s="111"/>
      <c r="AA54" s="111"/>
      <c r="AB54" s="111"/>
      <c r="AC54" s="112"/>
      <c r="AD54" s="113" t="str">
        <f t="shared" si="15"/>
        <v/>
      </c>
      <c r="AE54" s="114" t="str">
        <f t="shared" si="16"/>
        <v/>
      </c>
      <c r="AF54" s="115" t="str">
        <f t="shared" si="17"/>
        <v/>
      </c>
      <c r="AG54" s="116" t="str">
        <f t="shared" si="4"/>
        <v/>
      </c>
    </row>
    <row r="55" spans="1:33" x14ac:dyDescent="0.25">
      <c r="A55" s="16">
        <f t="shared" si="5"/>
        <v>52</v>
      </c>
      <c r="B55" s="31" t="str">
        <f t="shared" si="6"/>
        <v/>
      </c>
      <c r="C55" s="66" t="str">
        <f t="shared" si="14"/>
        <v/>
      </c>
      <c r="D55" s="92"/>
      <c r="E55" s="93"/>
      <c r="F55" s="93"/>
      <c r="G55" s="93"/>
      <c r="H55" s="94"/>
      <c r="I55" s="93"/>
      <c r="J55" s="93"/>
      <c r="K55" s="93"/>
      <c r="L55" s="93"/>
      <c r="M55" s="93"/>
      <c r="N55" s="95"/>
      <c r="O55" s="95" t="str">
        <f>IF(N55="","",IF('Event Dataset'!N55&lt;='Drop Downs and Assumptions'!$K$2,'Drop Downs and Assumptions'!$L$2,IF(AND('Event Dataset'!N55&gt;='Drop Downs and Assumptions'!$J$3,'Event Dataset'!N55&lt;='Drop Downs and Assumptions'!$K$3),'Drop Downs and Assumptions'!$L$3,IF(AND('Event Dataset'!N55&gt;='Drop Downs and Assumptions'!$J$4,'Event Dataset'!N55&lt;='Drop Downs and Assumptions'!$K$4),'Drop Downs and Assumptions'!$L$4,IF('Event Dataset'!N55&gt;='Drop Downs and Assumptions'!$J$5,'Drop Downs and Assumptions'!$L$5,"")))))</f>
        <v/>
      </c>
      <c r="P55" s="96"/>
      <c r="Q55" s="97"/>
      <c r="R55" s="98"/>
      <c r="S55" s="99"/>
      <c r="T55" s="99"/>
      <c r="U55" s="99"/>
      <c r="V55" s="99"/>
      <c r="W55" s="99"/>
      <c r="X55" s="99"/>
      <c r="Y55" s="99"/>
      <c r="Z55" s="99"/>
      <c r="AA55" s="99"/>
      <c r="AB55" s="99"/>
      <c r="AC55" s="100"/>
      <c r="AD55" s="101" t="str">
        <f t="shared" si="15"/>
        <v/>
      </c>
      <c r="AE55" s="102" t="str">
        <f t="shared" si="16"/>
        <v/>
      </c>
      <c r="AF55" s="103" t="str">
        <f t="shared" si="17"/>
        <v/>
      </c>
      <c r="AG55" s="104" t="str">
        <f t="shared" si="4"/>
        <v/>
      </c>
    </row>
    <row r="56" spans="1:33" x14ac:dyDescent="0.25">
      <c r="A56" s="4">
        <f t="shared" si="5"/>
        <v>53</v>
      </c>
      <c r="B56" s="30" t="str">
        <f t="shared" si="6"/>
        <v/>
      </c>
      <c r="C56" s="67" t="str">
        <f t="shared" si="14"/>
        <v/>
      </c>
      <c r="D56" s="105"/>
      <c r="E56" s="106"/>
      <c r="F56" s="106"/>
      <c r="G56" s="106"/>
      <c r="H56" s="107"/>
      <c r="I56" s="106"/>
      <c r="J56" s="106"/>
      <c r="K56" s="106"/>
      <c r="L56" s="106"/>
      <c r="M56" s="106"/>
      <c r="N56" s="108"/>
      <c r="O56" s="108" t="str">
        <f>IF(N56="","",IF('Event Dataset'!N56&lt;='Drop Downs and Assumptions'!$K$2,'Drop Downs and Assumptions'!$L$2,IF(AND('Event Dataset'!N56&gt;='Drop Downs and Assumptions'!$J$3,'Event Dataset'!N56&lt;='Drop Downs and Assumptions'!$K$3),'Drop Downs and Assumptions'!$L$3,IF(AND('Event Dataset'!N56&gt;='Drop Downs and Assumptions'!$J$4,'Event Dataset'!N56&lt;='Drop Downs and Assumptions'!$K$4),'Drop Downs and Assumptions'!$L$4,IF('Event Dataset'!N56&gt;='Drop Downs and Assumptions'!$J$5,'Drop Downs and Assumptions'!$L$5,"")))))</f>
        <v/>
      </c>
      <c r="P56" s="109"/>
      <c r="Q56" s="97"/>
      <c r="R56" s="110"/>
      <c r="S56" s="111"/>
      <c r="T56" s="111"/>
      <c r="U56" s="111"/>
      <c r="V56" s="111"/>
      <c r="W56" s="111"/>
      <c r="X56" s="111"/>
      <c r="Y56" s="111"/>
      <c r="Z56" s="111"/>
      <c r="AA56" s="111"/>
      <c r="AB56" s="111"/>
      <c r="AC56" s="112"/>
      <c r="AD56" s="113" t="str">
        <f t="shared" si="15"/>
        <v/>
      </c>
      <c r="AE56" s="114" t="str">
        <f t="shared" si="16"/>
        <v/>
      </c>
      <c r="AF56" s="115" t="str">
        <f t="shared" si="17"/>
        <v/>
      </c>
      <c r="AG56" s="116" t="str">
        <f t="shared" si="4"/>
        <v/>
      </c>
    </row>
    <row r="57" spans="1:33" x14ac:dyDescent="0.25">
      <c r="A57" s="16">
        <f t="shared" si="5"/>
        <v>54</v>
      </c>
      <c r="B57" s="31" t="str">
        <f t="shared" si="6"/>
        <v/>
      </c>
      <c r="C57" s="66" t="str">
        <f t="shared" si="14"/>
        <v/>
      </c>
      <c r="D57" s="92"/>
      <c r="E57" s="93"/>
      <c r="F57" s="93"/>
      <c r="G57" s="93"/>
      <c r="H57" s="94"/>
      <c r="I57" s="93"/>
      <c r="J57" s="93"/>
      <c r="K57" s="93"/>
      <c r="L57" s="93"/>
      <c r="M57" s="93"/>
      <c r="N57" s="95"/>
      <c r="O57" s="95" t="str">
        <f>IF(N57="","",IF('Event Dataset'!N57&lt;='Drop Downs and Assumptions'!$K$2,'Drop Downs and Assumptions'!$L$2,IF(AND('Event Dataset'!N57&gt;='Drop Downs and Assumptions'!$J$3,'Event Dataset'!N57&lt;='Drop Downs and Assumptions'!$K$3),'Drop Downs and Assumptions'!$L$3,IF(AND('Event Dataset'!N57&gt;='Drop Downs and Assumptions'!$J$4,'Event Dataset'!N57&lt;='Drop Downs and Assumptions'!$K$4),'Drop Downs and Assumptions'!$L$4,IF('Event Dataset'!N57&gt;='Drop Downs and Assumptions'!$J$5,'Drop Downs and Assumptions'!$L$5,"")))))</f>
        <v/>
      </c>
      <c r="P57" s="96"/>
      <c r="Q57" s="97"/>
      <c r="R57" s="98"/>
      <c r="S57" s="99"/>
      <c r="T57" s="99"/>
      <c r="U57" s="99"/>
      <c r="V57" s="99"/>
      <c r="W57" s="99"/>
      <c r="X57" s="99"/>
      <c r="Y57" s="99"/>
      <c r="Z57" s="99"/>
      <c r="AA57" s="99"/>
      <c r="AB57" s="99"/>
      <c r="AC57" s="100"/>
      <c r="AD57" s="101" t="str">
        <f t="shared" si="15"/>
        <v/>
      </c>
      <c r="AE57" s="102" t="str">
        <f t="shared" si="16"/>
        <v/>
      </c>
      <c r="AF57" s="103" t="str">
        <f t="shared" si="17"/>
        <v/>
      </c>
      <c r="AG57" s="104" t="str">
        <f t="shared" si="4"/>
        <v/>
      </c>
    </row>
    <row r="58" spans="1:33" x14ac:dyDescent="0.25">
      <c r="A58" s="4">
        <f t="shared" si="5"/>
        <v>55</v>
      </c>
      <c r="B58" s="30" t="str">
        <f t="shared" si="6"/>
        <v/>
      </c>
      <c r="C58" s="67" t="str">
        <f t="shared" si="14"/>
        <v/>
      </c>
      <c r="D58" s="105"/>
      <c r="E58" s="106"/>
      <c r="F58" s="106"/>
      <c r="G58" s="106"/>
      <c r="H58" s="107"/>
      <c r="I58" s="106"/>
      <c r="J58" s="106"/>
      <c r="K58" s="106"/>
      <c r="L58" s="106"/>
      <c r="M58" s="106"/>
      <c r="N58" s="108"/>
      <c r="O58" s="108" t="str">
        <f>IF(N58="","",IF('Event Dataset'!N58&lt;='Drop Downs and Assumptions'!$K$2,'Drop Downs and Assumptions'!$L$2,IF(AND('Event Dataset'!N58&gt;='Drop Downs and Assumptions'!$J$3,'Event Dataset'!N58&lt;='Drop Downs and Assumptions'!$K$3),'Drop Downs and Assumptions'!$L$3,IF(AND('Event Dataset'!N58&gt;='Drop Downs and Assumptions'!$J$4,'Event Dataset'!N58&lt;='Drop Downs and Assumptions'!$K$4),'Drop Downs and Assumptions'!$L$4,IF('Event Dataset'!N58&gt;='Drop Downs and Assumptions'!$J$5,'Drop Downs and Assumptions'!$L$5,"")))))</f>
        <v/>
      </c>
      <c r="P58" s="109"/>
      <c r="Q58" s="97"/>
      <c r="R58" s="110"/>
      <c r="S58" s="111"/>
      <c r="T58" s="111"/>
      <c r="U58" s="111"/>
      <c r="V58" s="111"/>
      <c r="W58" s="111"/>
      <c r="X58" s="111"/>
      <c r="Y58" s="111"/>
      <c r="Z58" s="111"/>
      <c r="AA58" s="111"/>
      <c r="AB58" s="111"/>
      <c r="AC58" s="112"/>
      <c r="AD58" s="113" t="str">
        <f t="shared" si="15"/>
        <v/>
      </c>
      <c r="AE58" s="114" t="str">
        <f t="shared" si="16"/>
        <v/>
      </c>
      <c r="AF58" s="115" t="str">
        <f t="shared" si="17"/>
        <v/>
      </c>
      <c r="AG58" s="116" t="str">
        <f t="shared" si="4"/>
        <v/>
      </c>
    </row>
    <row r="59" spans="1:33" x14ac:dyDescent="0.25">
      <c r="A59" s="16">
        <f t="shared" si="5"/>
        <v>56</v>
      </c>
      <c r="B59" s="31" t="str">
        <f t="shared" si="6"/>
        <v/>
      </c>
      <c r="C59" s="66" t="str">
        <f t="shared" si="14"/>
        <v/>
      </c>
      <c r="D59" s="92"/>
      <c r="E59" s="93"/>
      <c r="F59" s="93"/>
      <c r="G59" s="93"/>
      <c r="H59" s="94"/>
      <c r="I59" s="93"/>
      <c r="J59" s="93"/>
      <c r="K59" s="93"/>
      <c r="L59" s="93"/>
      <c r="M59" s="93"/>
      <c r="N59" s="95"/>
      <c r="O59" s="95" t="str">
        <f>IF(N59="","",IF('Event Dataset'!N59&lt;='Drop Downs and Assumptions'!$K$2,'Drop Downs and Assumptions'!$L$2,IF(AND('Event Dataset'!N59&gt;='Drop Downs and Assumptions'!$J$3,'Event Dataset'!N59&lt;='Drop Downs and Assumptions'!$K$3),'Drop Downs and Assumptions'!$L$3,IF(AND('Event Dataset'!N59&gt;='Drop Downs and Assumptions'!$J$4,'Event Dataset'!N59&lt;='Drop Downs and Assumptions'!$K$4),'Drop Downs and Assumptions'!$L$4,IF('Event Dataset'!N59&gt;='Drop Downs and Assumptions'!$J$5,'Drop Downs and Assumptions'!$L$5,"")))))</f>
        <v/>
      </c>
      <c r="P59" s="96"/>
      <c r="Q59" s="97"/>
      <c r="R59" s="98"/>
      <c r="S59" s="99"/>
      <c r="T59" s="99"/>
      <c r="U59" s="99"/>
      <c r="V59" s="99"/>
      <c r="W59" s="99"/>
      <c r="X59" s="99"/>
      <c r="Y59" s="99"/>
      <c r="Z59" s="99"/>
      <c r="AA59" s="99"/>
      <c r="AB59" s="99"/>
      <c r="AC59" s="100"/>
      <c r="AD59" s="101" t="str">
        <f t="shared" si="15"/>
        <v/>
      </c>
      <c r="AE59" s="102" t="str">
        <f t="shared" si="16"/>
        <v/>
      </c>
      <c r="AF59" s="103" t="str">
        <f t="shared" si="17"/>
        <v/>
      </c>
      <c r="AG59" s="104" t="str">
        <f t="shared" si="4"/>
        <v/>
      </c>
    </row>
    <row r="60" spans="1:33" x14ac:dyDescent="0.25">
      <c r="A60" s="4">
        <f t="shared" si="5"/>
        <v>57</v>
      </c>
      <c r="B60" s="30" t="str">
        <f t="shared" si="6"/>
        <v/>
      </c>
      <c r="C60" s="67" t="str">
        <f t="shared" si="14"/>
        <v/>
      </c>
      <c r="D60" s="105"/>
      <c r="E60" s="106"/>
      <c r="F60" s="106"/>
      <c r="G60" s="106"/>
      <c r="H60" s="107"/>
      <c r="I60" s="106"/>
      <c r="J60" s="106"/>
      <c r="K60" s="106"/>
      <c r="L60" s="106"/>
      <c r="M60" s="106"/>
      <c r="N60" s="108"/>
      <c r="O60" s="108" t="str">
        <f>IF(N60="","",IF('Event Dataset'!N60&lt;='Drop Downs and Assumptions'!$K$2,'Drop Downs and Assumptions'!$L$2,IF(AND('Event Dataset'!N60&gt;='Drop Downs and Assumptions'!$J$3,'Event Dataset'!N60&lt;='Drop Downs and Assumptions'!$K$3),'Drop Downs and Assumptions'!$L$3,IF(AND('Event Dataset'!N60&gt;='Drop Downs and Assumptions'!$J$4,'Event Dataset'!N60&lt;='Drop Downs and Assumptions'!$K$4),'Drop Downs and Assumptions'!$L$4,IF('Event Dataset'!N60&gt;='Drop Downs and Assumptions'!$J$5,'Drop Downs and Assumptions'!$L$5,"")))))</f>
        <v/>
      </c>
      <c r="P60" s="109"/>
      <c r="Q60" s="97"/>
      <c r="R60" s="110"/>
      <c r="S60" s="111"/>
      <c r="T60" s="111"/>
      <c r="U60" s="111"/>
      <c r="V60" s="111"/>
      <c r="W60" s="111"/>
      <c r="X60" s="111"/>
      <c r="Y60" s="111"/>
      <c r="Z60" s="111"/>
      <c r="AA60" s="111"/>
      <c r="AB60" s="111"/>
      <c r="AC60" s="112"/>
      <c r="AD60" s="113" t="str">
        <f t="shared" si="15"/>
        <v/>
      </c>
      <c r="AE60" s="114" t="str">
        <f t="shared" si="16"/>
        <v/>
      </c>
      <c r="AF60" s="115" t="str">
        <f t="shared" si="17"/>
        <v/>
      </c>
      <c r="AG60" s="116" t="str">
        <f t="shared" si="4"/>
        <v/>
      </c>
    </row>
    <row r="61" spans="1:33" x14ac:dyDescent="0.25">
      <c r="A61" s="16">
        <f t="shared" si="5"/>
        <v>58</v>
      </c>
      <c r="B61" s="31" t="str">
        <f t="shared" si="6"/>
        <v/>
      </c>
      <c r="C61" s="66" t="str">
        <f t="shared" si="14"/>
        <v/>
      </c>
      <c r="D61" s="92"/>
      <c r="E61" s="93"/>
      <c r="F61" s="93"/>
      <c r="G61" s="93"/>
      <c r="H61" s="94"/>
      <c r="I61" s="93"/>
      <c r="J61" s="93"/>
      <c r="K61" s="93"/>
      <c r="L61" s="93"/>
      <c r="M61" s="93"/>
      <c r="N61" s="95"/>
      <c r="O61" s="95" t="str">
        <f>IF(N61="","",IF('Event Dataset'!N61&lt;='Drop Downs and Assumptions'!$K$2,'Drop Downs and Assumptions'!$L$2,IF(AND('Event Dataset'!N61&gt;='Drop Downs and Assumptions'!$J$3,'Event Dataset'!N61&lt;='Drop Downs and Assumptions'!$K$3),'Drop Downs and Assumptions'!$L$3,IF(AND('Event Dataset'!N61&gt;='Drop Downs and Assumptions'!$J$4,'Event Dataset'!N61&lt;='Drop Downs and Assumptions'!$K$4),'Drop Downs and Assumptions'!$L$4,IF('Event Dataset'!N61&gt;='Drop Downs and Assumptions'!$J$5,'Drop Downs and Assumptions'!$L$5,"")))))</f>
        <v/>
      </c>
      <c r="P61" s="96"/>
      <c r="Q61" s="97"/>
      <c r="R61" s="98"/>
      <c r="S61" s="99"/>
      <c r="T61" s="99"/>
      <c r="U61" s="99"/>
      <c r="V61" s="99"/>
      <c r="W61" s="99"/>
      <c r="X61" s="99"/>
      <c r="Y61" s="99"/>
      <c r="Z61" s="99"/>
      <c r="AA61" s="99"/>
      <c r="AB61" s="99"/>
      <c r="AC61" s="100"/>
      <c r="AD61" s="101" t="str">
        <f t="shared" si="15"/>
        <v/>
      </c>
      <c r="AE61" s="102" t="str">
        <f t="shared" si="16"/>
        <v/>
      </c>
      <c r="AF61" s="103" t="str">
        <f t="shared" si="17"/>
        <v/>
      </c>
      <c r="AG61" s="104" t="str">
        <f t="shared" si="4"/>
        <v/>
      </c>
    </row>
    <row r="62" spans="1:33" x14ac:dyDescent="0.25">
      <c r="A62" s="4">
        <f t="shared" si="5"/>
        <v>59</v>
      </c>
      <c r="B62" s="30" t="str">
        <f t="shared" si="6"/>
        <v/>
      </c>
      <c r="C62" s="67" t="str">
        <f t="shared" si="14"/>
        <v/>
      </c>
      <c r="D62" s="105"/>
      <c r="E62" s="106"/>
      <c r="F62" s="106"/>
      <c r="G62" s="106"/>
      <c r="H62" s="107"/>
      <c r="I62" s="106"/>
      <c r="J62" s="106"/>
      <c r="K62" s="106"/>
      <c r="L62" s="106"/>
      <c r="M62" s="106"/>
      <c r="N62" s="108"/>
      <c r="O62" s="108" t="str">
        <f>IF(N62="","",IF('Event Dataset'!N62&lt;='Drop Downs and Assumptions'!$K$2,'Drop Downs and Assumptions'!$L$2,IF(AND('Event Dataset'!N62&gt;='Drop Downs and Assumptions'!$J$3,'Event Dataset'!N62&lt;='Drop Downs and Assumptions'!$K$3),'Drop Downs and Assumptions'!$L$3,IF(AND('Event Dataset'!N62&gt;='Drop Downs and Assumptions'!$J$4,'Event Dataset'!N62&lt;='Drop Downs and Assumptions'!$K$4),'Drop Downs and Assumptions'!$L$4,IF('Event Dataset'!N62&gt;='Drop Downs and Assumptions'!$J$5,'Drop Downs and Assumptions'!$L$5,"")))))</f>
        <v/>
      </c>
      <c r="P62" s="109"/>
      <c r="Q62" s="97"/>
      <c r="R62" s="110"/>
      <c r="S62" s="111"/>
      <c r="T62" s="111"/>
      <c r="U62" s="111"/>
      <c r="V62" s="111"/>
      <c r="W62" s="111"/>
      <c r="X62" s="111"/>
      <c r="Y62" s="111"/>
      <c r="Z62" s="111"/>
      <c r="AA62" s="111"/>
      <c r="AB62" s="111"/>
      <c r="AC62" s="112"/>
      <c r="AD62" s="113" t="str">
        <f t="shared" si="15"/>
        <v/>
      </c>
      <c r="AE62" s="114" t="str">
        <f t="shared" si="16"/>
        <v/>
      </c>
      <c r="AF62" s="115" t="str">
        <f t="shared" si="17"/>
        <v/>
      </c>
      <c r="AG62" s="116" t="str">
        <f t="shared" si="4"/>
        <v/>
      </c>
    </row>
    <row r="63" spans="1:33" x14ac:dyDescent="0.25">
      <c r="A63" s="16">
        <f t="shared" si="5"/>
        <v>60</v>
      </c>
      <c r="B63" s="31" t="str">
        <f t="shared" si="6"/>
        <v/>
      </c>
      <c r="C63" s="66" t="str">
        <f t="shared" si="14"/>
        <v/>
      </c>
      <c r="D63" s="92"/>
      <c r="E63" s="93"/>
      <c r="F63" s="93"/>
      <c r="G63" s="93"/>
      <c r="H63" s="94"/>
      <c r="I63" s="93"/>
      <c r="J63" s="93"/>
      <c r="K63" s="93"/>
      <c r="L63" s="93"/>
      <c r="M63" s="93"/>
      <c r="N63" s="95"/>
      <c r="O63" s="95" t="str">
        <f>IF(N63="","",IF('Event Dataset'!N63&lt;='Drop Downs and Assumptions'!$K$2,'Drop Downs and Assumptions'!$L$2,IF(AND('Event Dataset'!N63&gt;='Drop Downs and Assumptions'!$J$3,'Event Dataset'!N63&lt;='Drop Downs and Assumptions'!$K$3),'Drop Downs and Assumptions'!$L$3,IF(AND('Event Dataset'!N63&gt;='Drop Downs and Assumptions'!$J$4,'Event Dataset'!N63&lt;='Drop Downs and Assumptions'!$K$4),'Drop Downs and Assumptions'!$L$4,IF('Event Dataset'!N63&gt;='Drop Downs and Assumptions'!$J$5,'Drop Downs and Assumptions'!$L$5,"")))))</f>
        <v/>
      </c>
      <c r="P63" s="96"/>
      <c r="Q63" s="97"/>
      <c r="R63" s="98"/>
      <c r="S63" s="99"/>
      <c r="T63" s="99"/>
      <c r="U63" s="99"/>
      <c r="V63" s="99"/>
      <c r="W63" s="99"/>
      <c r="X63" s="99"/>
      <c r="Y63" s="99"/>
      <c r="Z63" s="99"/>
      <c r="AA63" s="99"/>
      <c r="AB63" s="99"/>
      <c r="AC63" s="100"/>
      <c r="AD63" s="101" t="str">
        <f t="shared" si="15"/>
        <v/>
      </c>
      <c r="AE63" s="102" t="str">
        <f t="shared" si="16"/>
        <v/>
      </c>
      <c r="AF63" s="103" t="str">
        <f t="shared" si="17"/>
        <v/>
      </c>
      <c r="AG63" s="104" t="str">
        <f t="shared" si="4"/>
        <v/>
      </c>
    </row>
    <row r="64" spans="1:33" x14ac:dyDescent="0.25">
      <c r="A64" s="4">
        <f t="shared" si="5"/>
        <v>61</v>
      </c>
      <c r="B64" s="30" t="str">
        <f t="shared" si="6"/>
        <v/>
      </c>
      <c r="C64" s="67" t="str">
        <f t="shared" si="14"/>
        <v/>
      </c>
      <c r="D64" s="105"/>
      <c r="E64" s="106"/>
      <c r="F64" s="106"/>
      <c r="G64" s="106"/>
      <c r="H64" s="107"/>
      <c r="I64" s="106"/>
      <c r="J64" s="106"/>
      <c r="K64" s="106"/>
      <c r="L64" s="106"/>
      <c r="M64" s="106"/>
      <c r="N64" s="108"/>
      <c r="O64" s="108" t="str">
        <f>IF(N64="","",IF('Event Dataset'!N64&lt;='Drop Downs and Assumptions'!$K$2,'Drop Downs and Assumptions'!$L$2,IF(AND('Event Dataset'!N64&gt;='Drop Downs and Assumptions'!$J$3,'Event Dataset'!N64&lt;='Drop Downs and Assumptions'!$K$3),'Drop Downs and Assumptions'!$L$3,IF(AND('Event Dataset'!N64&gt;='Drop Downs and Assumptions'!$J$4,'Event Dataset'!N64&lt;='Drop Downs and Assumptions'!$K$4),'Drop Downs and Assumptions'!$L$4,IF('Event Dataset'!N64&gt;='Drop Downs and Assumptions'!$J$5,'Drop Downs and Assumptions'!$L$5,"")))))</f>
        <v/>
      </c>
      <c r="P64" s="109"/>
      <c r="Q64" s="97"/>
      <c r="R64" s="110"/>
      <c r="S64" s="111"/>
      <c r="T64" s="111"/>
      <c r="U64" s="111"/>
      <c r="V64" s="111"/>
      <c r="W64" s="111"/>
      <c r="X64" s="111"/>
      <c r="Y64" s="111"/>
      <c r="Z64" s="111"/>
      <c r="AA64" s="111"/>
      <c r="AB64" s="111"/>
      <c r="AC64" s="112"/>
      <c r="AD64" s="113" t="str">
        <f t="shared" si="15"/>
        <v/>
      </c>
      <c r="AE64" s="114" t="str">
        <f t="shared" si="16"/>
        <v/>
      </c>
      <c r="AF64" s="115" t="str">
        <f t="shared" si="17"/>
        <v/>
      </c>
      <c r="AG64" s="116" t="str">
        <f t="shared" si="4"/>
        <v/>
      </c>
    </row>
    <row r="65" spans="1:33" x14ac:dyDescent="0.25">
      <c r="A65" s="16">
        <f t="shared" si="5"/>
        <v>62</v>
      </c>
      <c r="B65" s="31" t="str">
        <f t="shared" si="6"/>
        <v/>
      </c>
      <c r="C65" s="66" t="str">
        <f t="shared" si="14"/>
        <v/>
      </c>
      <c r="D65" s="92"/>
      <c r="E65" s="93"/>
      <c r="F65" s="93"/>
      <c r="G65" s="93"/>
      <c r="H65" s="94"/>
      <c r="I65" s="93"/>
      <c r="J65" s="93"/>
      <c r="K65" s="93"/>
      <c r="L65" s="93"/>
      <c r="M65" s="93"/>
      <c r="N65" s="95"/>
      <c r="O65" s="95" t="str">
        <f>IF(N65="","",IF('Event Dataset'!N65&lt;='Drop Downs and Assumptions'!$K$2,'Drop Downs and Assumptions'!$L$2,IF(AND('Event Dataset'!N65&gt;='Drop Downs and Assumptions'!$J$3,'Event Dataset'!N65&lt;='Drop Downs and Assumptions'!$K$3),'Drop Downs and Assumptions'!$L$3,IF(AND('Event Dataset'!N65&gt;='Drop Downs and Assumptions'!$J$4,'Event Dataset'!N65&lt;='Drop Downs and Assumptions'!$K$4),'Drop Downs and Assumptions'!$L$4,IF('Event Dataset'!N65&gt;='Drop Downs and Assumptions'!$J$5,'Drop Downs and Assumptions'!$L$5,"")))))</f>
        <v/>
      </c>
      <c r="P65" s="96"/>
      <c r="Q65" s="97"/>
      <c r="R65" s="98"/>
      <c r="S65" s="99"/>
      <c r="T65" s="99"/>
      <c r="U65" s="99"/>
      <c r="V65" s="99"/>
      <c r="W65" s="99"/>
      <c r="X65" s="99"/>
      <c r="Y65" s="99"/>
      <c r="Z65" s="99"/>
      <c r="AA65" s="99"/>
      <c r="AB65" s="99"/>
      <c r="AC65" s="100"/>
      <c r="AD65" s="101" t="str">
        <f t="shared" si="15"/>
        <v/>
      </c>
      <c r="AE65" s="102" t="str">
        <f t="shared" si="16"/>
        <v/>
      </c>
      <c r="AF65" s="103" t="str">
        <f t="shared" si="17"/>
        <v/>
      </c>
      <c r="AG65" s="104" t="str">
        <f t="shared" si="4"/>
        <v/>
      </c>
    </row>
    <row r="66" spans="1:33" x14ac:dyDescent="0.25">
      <c r="A66" s="4">
        <f t="shared" si="5"/>
        <v>63</v>
      </c>
      <c r="B66" s="30" t="str">
        <f t="shared" si="6"/>
        <v/>
      </c>
      <c r="C66" s="67" t="str">
        <f t="shared" si="14"/>
        <v/>
      </c>
      <c r="D66" s="105"/>
      <c r="E66" s="106"/>
      <c r="F66" s="106"/>
      <c r="G66" s="106"/>
      <c r="H66" s="107"/>
      <c r="I66" s="106"/>
      <c r="J66" s="106"/>
      <c r="K66" s="106"/>
      <c r="L66" s="106"/>
      <c r="M66" s="106"/>
      <c r="N66" s="108"/>
      <c r="O66" s="108" t="str">
        <f>IF(N66="","",IF('Event Dataset'!N66&lt;='Drop Downs and Assumptions'!$K$2,'Drop Downs and Assumptions'!$L$2,IF(AND('Event Dataset'!N66&gt;='Drop Downs and Assumptions'!$J$3,'Event Dataset'!N66&lt;='Drop Downs and Assumptions'!$K$3),'Drop Downs and Assumptions'!$L$3,IF(AND('Event Dataset'!N66&gt;='Drop Downs and Assumptions'!$J$4,'Event Dataset'!N66&lt;='Drop Downs and Assumptions'!$K$4),'Drop Downs and Assumptions'!$L$4,IF('Event Dataset'!N66&gt;='Drop Downs and Assumptions'!$J$5,'Drop Downs and Assumptions'!$L$5,"")))))</f>
        <v/>
      </c>
      <c r="P66" s="109"/>
      <c r="Q66" s="97"/>
      <c r="R66" s="110"/>
      <c r="S66" s="111"/>
      <c r="T66" s="111"/>
      <c r="U66" s="111"/>
      <c r="V66" s="111"/>
      <c r="W66" s="111"/>
      <c r="X66" s="111"/>
      <c r="Y66" s="111"/>
      <c r="Z66" s="111"/>
      <c r="AA66" s="111"/>
      <c r="AB66" s="111"/>
      <c r="AC66" s="112"/>
      <c r="AD66" s="113" t="str">
        <f t="shared" si="15"/>
        <v/>
      </c>
      <c r="AE66" s="114" t="str">
        <f t="shared" si="16"/>
        <v/>
      </c>
      <c r="AF66" s="115" t="str">
        <f t="shared" si="17"/>
        <v/>
      </c>
      <c r="AG66" s="116" t="str">
        <f t="shared" si="4"/>
        <v/>
      </c>
    </row>
    <row r="67" spans="1:33" x14ac:dyDescent="0.25">
      <c r="A67" s="16">
        <f t="shared" si="5"/>
        <v>64</v>
      </c>
      <c r="B67" s="31" t="str">
        <f t="shared" si="6"/>
        <v/>
      </c>
      <c r="C67" s="66" t="str">
        <f t="shared" si="14"/>
        <v/>
      </c>
      <c r="D67" s="92"/>
      <c r="E67" s="93"/>
      <c r="F67" s="93"/>
      <c r="G67" s="93"/>
      <c r="H67" s="94"/>
      <c r="I67" s="93"/>
      <c r="J67" s="93"/>
      <c r="K67" s="93"/>
      <c r="L67" s="93"/>
      <c r="M67" s="93"/>
      <c r="N67" s="95"/>
      <c r="O67" s="95" t="str">
        <f>IF(N67="","",IF('Event Dataset'!N67&lt;='Drop Downs and Assumptions'!$K$2,'Drop Downs and Assumptions'!$L$2,IF(AND('Event Dataset'!N67&gt;='Drop Downs and Assumptions'!$J$3,'Event Dataset'!N67&lt;='Drop Downs and Assumptions'!$K$3),'Drop Downs and Assumptions'!$L$3,IF(AND('Event Dataset'!N67&gt;='Drop Downs and Assumptions'!$J$4,'Event Dataset'!N67&lt;='Drop Downs and Assumptions'!$K$4),'Drop Downs and Assumptions'!$L$4,IF('Event Dataset'!N67&gt;='Drop Downs and Assumptions'!$J$5,'Drop Downs and Assumptions'!$L$5,"")))))</f>
        <v/>
      </c>
      <c r="P67" s="96"/>
      <c r="Q67" s="97"/>
      <c r="R67" s="98"/>
      <c r="S67" s="99"/>
      <c r="T67" s="99"/>
      <c r="U67" s="99"/>
      <c r="V67" s="99"/>
      <c r="W67" s="99"/>
      <c r="X67" s="99"/>
      <c r="Y67" s="99"/>
      <c r="Z67" s="99"/>
      <c r="AA67" s="99"/>
      <c r="AB67" s="99"/>
      <c r="AC67" s="100"/>
      <c r="AD67" s="101" t="str">
        <f t="shared" si="15"/>
        <v/>
      </c>
      <c r="AE67" s="102" t="str">
        <f t="shared" si="16"/>
        <v/>
      </c>
      <c r="AF67" s="103" t="str">
        <f t="shared" si="17"/>
        <v/>
      </c>
      <c r="AG67" s="104" t="str">
        <f t="shared" si="4"/>
        <v/>
      </c>
    </row>
    <row r="68" spans="1:33" x14ac:dyDescent="0.25">
      <c r="A68" s="4">
        <f t="shared" si="5"/>
        <v>65</v>
      </c>
      <c r="B68" s="30" t="str">
        <f t="shared" si="6"/>
        <v/>
      </c>
      <c r="C68" s="67" t="str">
        <f t="shared" si="14"/>
        <v/>
      </c>
      <c r="D68" s="105"/>
      <c r="E68" s="106"/>
      <c r="F68" s="106"/>
      <c r="G68" s="106"/>
      <c r="H68" s="107"/>
      <c r="I68" s="106"/>
      <c r="J68" s="106"/>
      <c r="K68" s="106"/>
      <c r="L68" s="106"/>
      <c r="M68" s="106"/>
      <c r="N68" s="108"/>
      <c r="O68" s="108" t="str">
        <f>IF(N68="","",IF('Event Dataset'!N68&lt;='Drop Downs and Assumptions'!$K$2,'Drop Downs and Assumptions'!$L$2,IF(AND('Event Dataset'!N68&gt;='Drop Downs and Assumptions'!$J$3,'Event Dataset'!N68&lt;='Drop Downs and Assumptions'!$K$3),'Drop Downs and Assumptions'!$L$3,IF(AND('Event Dataset'!N68&gt;='Drop Downs and Assumptions'!$J$4,'Event Dataset'!N68&lt;='Drop Downs and Assumptions'!$K$4),'Drop Downs and Assumptions'!$L$4,IF('Event Dataset'!N68&gt;='Drop Downs and Assumptions'!$J$5,'Drop Downs and Assumptions'!$L$5,"")))))</f>
        <v/>
      </c>
      <c r="P68" s="109"/>
      <c r="Q68" s="97"/>
      <c r="R68" s="110"/>
      <c r="S68" s="111"/>
      <c r="T68" s="111"/>
      <c r="U68" s="111"/>
      <c r="V68" s="111"/>
      <c r="W68" s="111"/>
      <c r="X68" s="111"/>
      <c r="Y68" s="111"/>
      <c r="Z68" s="111"/>
      <c r="AA68" s="111"/>
      <c r="AB68" s="111"/>
      <c r="AC68" s="112"/>
      <c r="AD68" s="113" t="str">
        <f t="shared" si="15"/>
        <v/>
      </c>
      <c r="AE68" s="114" t="str">
        <f t="shared" si="16"/>
        <v/>
      </c>
      <c r="AF68" s="115" t="str">
        <f t="shared" si="17"/>
        <v/>
      </c>
      <c r="AG68" s="116" t="str">
        <f t="shared" ref="AG68:AG131" si="18">IFERROR((AD68-AC68)*1000/P68/N68,"")</f>
        <v/>
      </c>
    </row>
    <row r="69" spans="1:33" x14ac:dyDescent="0.25">
      <c r="A69" s="16">
        <f t="shared" ref="A69:A132" si="19">A68+1</f>
        <v>66</v>
      </c>
      <c r="B69" s="31" t="str">
        <f t="shared" ref="B69:B132" si="20">IFERROR(RANK(AF69,$AF$4:$AF$470,0),"")</f>
        <v/>
      </c>
      <c r="C69" s="66" t="str">
        <f t="shared" si="14"/>
        <v/>
      </c>
      <c r="D69" s="92"/>
      <c r="E69" s="93"/>
      <c r="F69" s="93"/>
      <c r="G69" s="93"/>
      <c r="H69" s="94"/>
      <c r="I69" s="93"/>
      <c r="J69" s="93"/>
      <c r="K69" s="93"/>
      <c r="L69" s="93"/>
      <c r="M69" s="93"/>
      <c r="N69" s="95"/>
      <c r="O69" s="95" t="str">
        <f>IF(N69="","",IF('Event Dataset'!N69&lt;='Drop Downs and Assumptions'!$K$2,'Drop Downs and Assumptions'!$L$2,IF(AND('Event Dataset'!N69&gt;='Drop Downs and Assumptions'!$J$3,'Event Dataset'!N69&lt;='Drop Downs and Assumptions'!$K$3),'Drop Downs and Assumptions'!$L$3,IF(AND('Event Dataset'!N69&gt;='Drop Downs and Assumptions'!$J$4,'Event Dataset'!N69&lt;='Drop Downs and Assumptions'!$K$4),'Drop Downs and Assumptions'!$L$4,IF('Event Dataset'!N69&gt;='Drop Downs and Assumptions'!$J$5,'Drop Downs and Assumptions'!$L$5,"")))))</f>
        <v/>
      </c>
      <c r="P69" s="96"/>
      <c r="Q69" s="97"/>
      <c r="R69" s="98"/>
      <c r="S69" s="99"/>
      <c r="T69" s="99"/>
      <c r="U69" s="99"/>
      <c r="V69" s="99"/>
      <c r="W69" s="99"/>
      <c r="X69" s="99"/>
      <c r="Y69" s="99"/>
      <c r="Z69" s="99"/>
      <c r="AA69" s="99"/>
      <c r="AB69" s="99"/>
      <c r="AC69" s="100"/>
      <c r="AD69" s="101" t="str">
        <f t="shared" si="15"/>
        <v/>
      </c>
      <c r="AE69" s="102" t="str">
        <f t="shared" si="16"/>
        <v/>
      </c>
      <c r="AF69" s="103" t="str">
        <f t="shared" si="17"/>
        <v/>
      </c>
      <c r="AG69" s="104" t="str">
        <f t="shared" si="18"/>
        <v/>
      </c>
    </row>
    <row r="70" spans="1:33" x14ac:dyDescent="0.25">
      <c r="A70" s="4">
        <f t="shared" si="19"/>
        <v>67</v>
      </c>
      <c r="B70" s="30" t="str">
        <f t="shared" si="20"/>
        <v/>
      </c>
      <c r="C70" s="67" t="str">
        <f t="shared" si="14"/>
        <v/>
      </c>
      <c r="D70" s="105"/>
      <c r="E70" s="106"/>
      <c r="F70" s="106"/>
      <c r="G70" s="106"/>
      <c r="H70" s="107"/>
      <c r="I70" s="106"/>
      <c r="J70" s="106"/>
      <c r="K70" s="106"/>
      <c r="L70" s="106"/>
      <c r="M70" s="106"/>
      <c r="N70" s="108"/>
      <c r="O70" s="108" t="str">
        <f>IF(N70="","",IF('Event Dataset'!N70&lt;='Drop Downs and Assumptions'!$K$2,'Drop Downs and Assumptions'!$L$2,IF(AND('Event Dataset'!N70&gt;='Drop Downs and Assumptions'!$J$3,'Event Dataset'!N70&lt;='Drop Downs and Assumptions'!$K$3),'Drop Downs and Assumptions'!$L$3,IF(AND('Event Dataset'!N70&gt;='Drop Downs and Assumptions'!$J$4,'Event Dataset'!N70&lt;='Drop Downs and Assumptions'!$K$4),'Drop Downs and Assumptions'!$L$4,IF('Event Dataset'!N70&gt;='Drop Downs and Assumptions'!$J$5,'Drop Downs and Assumptions'!$L$5,"")))))</f>
        <v/>
      </c>
      <c r="P70" s="109"/>
      <c r="Q70" s="97"/>
      <c r="R70" s="110"/>
      <c r="S70" s="111"/>
      <c r="T70" s="111"/>
      <c r="U70" s="111"/>
      <c r="V70" s="111"/>
      <c r="W70" s="111"/>
      <c r="X70" s="111"/>
      <c r="Y70" s="111"/>
      <c r="Z70" s="111"/>
      <c r="AA70" s="111"/>
      <c r="AB70" s="111"/>
      <c r="AC70" s="112"/>
      <c r="AD70" s="113" t="str">
        <f t="shared" si="15"/>
        <v/>
      </c>
      <c r="AE70" s="114" t="str">
        <f t="shared" si="16"/>
        <v/>
      </c>
      <c r="AF70" s="115" t="str">
        <f t="shared" si="17"/>
        <v/>
      </c>
      <c r="AG70" s="116" t="str">
        <f t="shared" si="18"/>
        <v/>
      </c>
    </row>
    <row r="71" spans="1:33" x14ac:dyDescent="0.25">
      <c r="A71" s="16">
        <f t="shared" si="19"/>
        <v>68</v>
      </c>
      <c r="B71" s="31" t="str">
        <f t="shared" si="20"/>
        <v/>
      </c>
      <c r="C71" s="66" t="str">
        <f t="shared" si="14"/>
        <v/>
      </c>
      <c r="D71" s="92"/>
      <c r="E71" s="93"/>
      <c r="F71" s="93"/>
      <c r="G71" s="93"/>
      <c r="H71" s="94"/>
      <c r="I71" s="93"/>
      <c r="J71" s="93"/>
      <c r="K71" s="93"/>
      <c r="L71" s="93"/>
      <c r="M71" s="93"/>
      <c r="N71" s="95"/>
      <c r="O71" s="95" t="str">
        <f>IF(N71="","",IF('Event Dataset'!N71&lt;='Drop Downs and Assumptions'!$K$2,'Drop Downs and Assumptions'!$L$2,IF(AND('Event Dataset'!N71&gt;='Drop Downs and Assumptions'!$J$3,'Event Dataset'!N71&lt;='Drop Downs and Assumptions'!$K$3),'Drop Downs and Assumptions'!$L$3,IF(AND('Event Dataset'!N71&gt;='Drop Downs and Assumptions'!$J$4,'Event Dataset'!N71&lt;='Drop Downs and Assumptions'!$K$4),'Drop Downs and Assumptions'!$L$4,IF('Event Dataset'!N71&gt;='Drop Downs and Assumptions'!$J$5,'Drop Downs and Assumptions'!$L$5,"")))))</f>
        <v/>
      </c>
      <c r="P71" s="96"/>
      <c r="Q71" s="97"/>
      <c r="R71" s="98"/>
      <c r="S71" s="99"/>
      <c r="T71" s="99"/>
      <c r="U71" s="99"/>
      <c r="V71" s="99"/>
      <c r="W71" s="99"/>
      <c r="X71" s="99"/>
      <c r="Y71" s="99"/>
      <c r="Z71" s="99"/>
      <c r="AA71" s="99"/>
      <c r="AB71" s="99"/>
      <c r="AC71" s="100"/>
      <c r="AD71" s="101" t="str">
        <f t="shared" si="15"/>
        <v/>
      </c>
      <c r="AE71" s="102" t="str">
        <f t="shared" si="16"/>
        <v/>
      </c>
      <c r="AF71" s="103" t="str">
        <f t="shared" si="17"/>
        <v/>
      </c>
      <c r="AG71" s="104" t="str">
        <f t="shared" si="18"/>
        <v/>
      </c>
    </row>
    <row r="72" spans="1:33" x14ac:dyDescent="0.25">
      <c r="A72" s="4">
        <f t="shared" si="19"/>
        <v>69</v>
      </c>
      <c r="B72" s="30" t="str">
        <f t="shared" si="20"/>
        <v/>
      </c>
      <c r="C72" s="67" t="str">
        <f t="shared" si="14"/>
        <v/>
      </c>
      <c r="D72" s="105"/>
      <c r="E72" s="106"/>
      <c r="F72" s="106"/>
      <c r="G72" s="106"/>
      <c r="H72" s="107"/>
      <c r="I72" s="106"/>
      <c r="J72" s="106"/>
      <c r="K72" s="106"/>
      <c r="L72" s="106"/>
      <c r="M72" s="106"/>
      <c r="N72" s="108"/>
      <c r="O72" s="108" t="str">
        <f>IF(N72="","",IF('Event Dataset'!N72&lt;='Drop Downs and Assumptions'!$K$2,'Drop Downs and Assumptions'!$L$2,IF(AND('Event Dataset'!N72&gt;='Drop Downs and Assumptions'!$J$3,'Event Dataset'!N72&lt;='Drop Downs and Assumptions'!$K$3),'Drop Downs and Assumptions'!$L$3,IF(AND('Event Dataset'!N72&gt;='Drop Downs and Assumptions'!$J$4,'Event Dataset'!N72&lt;='Drop Downs and Assumptions'!$K$4),'Drop Downs and Assumptions'!$L$4,IF('Event Dataset'!N72&gt;='Drop Downs and Assumptions'!$J$5,'Drop Downs and Assumptions'!$L$5,"")))))</f>
        <v/>
      </c>
      <c r="P72" s="109"/>
      <c r="Q72" s="97"/>
      <c r="R72" s="110"/>
      <c r="S72" s="111"/>
      <c r="T72" s="111"/>
      <c r="U72" s="111"/>
      <c r="V72" s="111"/>
      <c r="W72" s="111"/>
      <c r="X72" s="111"/>
      <c r="Y72" s="111"/>
      <c r="Z72" s="111"/>
      <c r="AA72" s="111"/>
      <c r="AB72" s="111"/>
      <c r="AC72" s="112"/>
      <c r="AD72" s="113" t="str">
        <f t="shared" si="15"/>
        <v/>
      </c>
      <c r="AE72" s="114" t="str">
        <f t="shared" si="16"/>
        <v/>
      </c>
      <c r="AF72" s="115" t="str">
        <f t="shared" si="17"/>
        <v/>
      </c>
      <c r="AG72" s="116" t="str">
        <f t="shared" si="18"/>
        <v/>
      </c>
    </row>
    <row r="73" spans="1:33" x14ac:dyDescent="0.25">
      <c r="A73" s="16">
        <f t="shared" si="19"/>
        <v>70</v>
      </c>
      <c r="B73" s="31" t="str">
        <f t="shared" si="20"/>
        <v/>
      </c>
      <c r="C73" s="66" t="str">
        <f t="shared" si="14"/>
        <v/>
      </c>
      <c r="D73" s="92"/>
      <c r="E73" s="93"/>
      <c r="F73" s="93"/>
      <c r="G73" s="93"/>
      <c r="H73" s="94"/>
      <c r="I73" s="93"/>
      <c r="J73" s="93"/>
      <c r="K73" s="93"/>
      <c r="L73" s="93"/>
      <c r="M73" s="93"/>
      <c r="N73" s="95"/>
      <c r="O73" s="95" t="str">
        <f>IF(N73="","",IF('Event Dataset'!N73&lt;='Drop Downs and Assumptions'!$K$2,'Drop Downs and Assumptions'!$L$2,IF(AND('Event Dataset'!N73&gt;='Drop Downs and Assumptions'!$J$3,'Event Dataset'!N73&lt;='Drop Downs and Assumptions'!$K$3),'Drop Downs and Assumptions'!$L$3,IF(AND('Event Dataset'!N73&gt;='Drop Downs and Assumptions'!$J$4,'Event Dataset'!N73&lt;='Drop Downs and Assumptions'!$K$4),'Drop Downs and Assumptions'!$L$4,IF('Event Dataset'!N73&gt;='Drop Downs and Assumptions'!$J$5,'Drop Downs and Assumptions'!$L$5,"")))))</f>
        <v/>
      </c>
      <c r="P73" s="96"/>
      <c r="Q73" s="97"/>
      <c r="R73" s="98"/>
      <c r="S73" s="99"/>
      <c r="T73" s="99"/>
      <c r="U73" s="99"/>
      <c r="V73" s="99"/>
      <c r="W73" s="99"/>
      <c r="X73" s="99"/>
      <c r="Y73" s="99"/>
      <c r="Z73" s="99"/>
      <c r="AA73" s="99"/>
      <c r="AB73" s="99"/>
      <c r="AC73" s="100"/>
      <c r="AD73" s="101" t="str">
        <f t="shared" si="15"/>
        <v/>
      </c>
      <c r="AE73" s="102" t="str">
        <f t="shared" si="16"/>
        <v/>
      </c>
      <c r="AF73" s="103" t="str">
        <f t="shared" si="17"/>
        <v/>
      </c>
      <c r="AG73" s="104" t="str">
        <f t="shared" si="18"/>
        <v/>
      </c>
    </row>
    <row r="74" spans="1:33" x14ac:dyDescent="0.25">
      <c r="A74" s="4">
        <f t="shared" si="19"/>
        <v>71</v>
      </c>
      <c r="B74" s="30" t="str">
        <f t="shared" si="20"/>
        <v/>
      </c>
      <c r="C74" s="67" t="str">
        <f t="shared" si="14"/>
        <v/>
      </c>
      <c r="D74" s="105"/>
      <c r="E74" s="106"/>
      <c r="F74" s="106"/>
      <c r="G74" s="106"/>
      <c r="H74" s="107"/>
      <c r="I74" s="106"/>
      <c r="J74" s="106"/>
      <c r="K74" s="106"/>
      <c r="L74" s="106"/>
      <c r="M74" s="106"/>
      <c r="N74" s="108"/>
      <c r="O74" s="108" t="str">
        <f>IF(N74="","",IF('Event Dataset'!N74&lt;='Drop Downs and Assumptions'!$K$2,'Drop Downs and Assumptions'!$L$2,IF(AND('Event Dataset'!N74&gt;='Drop Downs and Assumptions'!$J$3,'Event Dataset'!N74&lt;='Drop Downs and Assumptions'!$K$3),'Drop Downs and Assumptions'!$L$3,IF(AND('Event Dataset'!N74&gt;='Drop Downs and Assumptions'!$J$4,'Event Dataset'!N74&lt;='Drop Downs and Assumptions'!$K$4),'Drop Downs and Assumptions'!$L$4,IF('Event Dataset'!N74&gt;='Drop Downs and Assumptions'!$J$5,'Drop Downs and Assumptions'!$L$5,"")))))</f>
        <v/>
      </c>
      <c r="P74" s="109"/>
      <c r="Q74" s="97"/>
      <c r="R74" s="110"/>
      <c r="S74" s="111"/>
      <c r="T74" s="111"/>
      <c r="U74" s="111"/>
      <c r="V74" s="111"/>
      <c r="W74" s="111"/>
      <c r="X74" s="111"/>
      <c r="Y74" s="111"/>
      <c r="Z74" s="111"/>
      <c r="AA74" s="111"/>
      <c r="AB74" s="111"/>
      <c r="AC74" s="112"/>
      <c r="AD74" s="113" t="str">
        <f t="shared" si="15"/>
        <v/>
      </c>
      <c r="AE74" s="114" t="str">
        <f t="shared" si="16"/>
        <v/>
      </c>
      <c r="AF74" s="115" t="str">
        <f t="shared" si="17"/>
        <v/>
      </c>
      <c r="AG74" s="116" t="str">
        <f t="shared" si="18"/>
        <v/>
      </c>
    </row>
    <row r="75" spans="1:33" x14ac:dyDescent="0.25">
      <c r="A75" s="16">
        <f t="shared" si="19"/>
        <v>72</v>
      </c>
      <c r="B75" s="31" t="str">
        <f t="shared" si="20"/>
        <v/>
      </c>
      <c r="C75" s="66" t="str">
        <f t="shared" si="14"/>
        <v/>
      </c>
      <c r="D75" s="92"/>
      <c r="E75" s="93"/>
      <c r="F75" s="93"/>
      <c r="G75" s="93"/>
      <c r="H75" s="94"/>
      <c r="I75" s="93"/>
      <c r="J75" s="93"/>
      <c r="K75" s="93"/>
      <c r="L75" s="93"/>
      <c r="M75" s="93"/>
      <c r="N75" s="95"/>
      <c r="O75" s="95" t="str">
        <f>IF(N75="","",IF('Event Dataset'!N75&lt;='Drop Downs and Assumptions'!$K$2,'Drop Downs and Assumptions'!$L$2,IF(AND('Event Dataset'!N75&gt;='Drop Downs and Assumptions'!$J$3,'Event Dataset'!N75&lt;='Drop Downs and Assumptions'!$K$3),'Drop Downs and Assumptions'!$L$3,IF(AND('Event Dataset'!N75&gt;='Drop Downs and Assumptions'!$J$4,'Event Dataset'!N75&lt;='Drop Downs and Assumptions'!$K$4),'Drop Downs and Assumptions'!$L$4,IF('Event Dataset'!N75&gt;='Drop Downs and Assumptions'!$J$5,'Drop Downs and Assumptions'!$L$5,"")))))</f>
        <v/>
      </c>
      <c r="P75" s="96"/>
      <c r="Q75" s="97"/>
      <c r="R75" s="98"/>
      <c r="S75" s="99"/>
      <c r="T75" s="99"/>
      <c r="U75" s="99"/>
      <c r="V75" s="99"/>
      <c r="W75" s="99"/>
      <c r="X75" s="99"/>
      <c r="Y75" s="99"/>
      <c r="Z75" s="99"/>
      <c r="AA75" s="99"/>
      <c r="AB75" s="99"/>
      <c r="AC75" s="100"/>
      <c r="AD75" s="101" t="str">
        <f t="shared" si="15"/>
        <v/>
      </c>
      <c r="AE75" s="102" t="str">
        <f t="shared" si="16"/>
        <v/>
      </c>
      <c r="AF75" s="103" t="str">
        <f t="shared" si="17"/>
        <v/>
      </c>
      <c r="AG75" s="104" t="str">
        <f t="shared" si="18"/>
        <v/>
      </c>
    </row>
    <row r="76" spans="1:33" x14ac:dyDescent="0.25">
      <c r="A76" s="4">
        <f t="shared" si="19"/>
        <v>73</v>
      </c>
      <c r="B76" s="30" t="str">
        <f t="shared" si="20"/>
        <v/>
      </c>
      <c r="C76" s="67" t="str">
        <f t="shared" si="14"/>
        <v/>
      </c>
      <c r="D76" s="105"/>
      <c r="E76" s="106"/>
      <c r="F76" s="106"/>
      <c r="G76" s="106"/>
      <c r="H76" s="107"/>
      <c r="I76" s="106"/>
      <c r="J76" s="106"/>
      <c r="K76" s="106"/>
      <c r="L76" s="106"/>
      <c r="M76" s="106"/>
      <c r="N76" s="108"/>
      <c r="O76" s="108" t="str">
        <f>IF(N76="","",IF('Event Dataset'!N76&lt;='Drop Downs and Assumptions'!$K$2,'Drop Downs and Assumptions'!$L$2,IF(AND('Event Dataset'!N76&gt;='Drop Downs and Assumptions'!$J$3,'Event Dataset'!N76&lt;='Drop Downs and Assumptions'!$K$3),'Drop Downs and Assumptions'!$L$3,IF(AND('Event Dataset'!N76&gt;='Drop Downs and Assumptions'!$J$4,'Event Dataset'!N76&lt;='Drop Downs and Assumptions'!$K$4),'Drop Downs and Assumptions'!$L$4,IF('Event Dataset'!N76&gt;='Drop Downs and Assumptions'!$J$5,'Drop Downs and Assumptions'!$L$5,"")))))</f>
        <v/>
      </c>
      <c r="P76" s="109"/>
      <c r="Q76" s="97"/>
      <c r="R76" s="110"/>
      <c r="S76" s="111"/>
      <c r="T76" s="111"/>
      <c r="U76" s="111"/>
      <c r="V76" s="111"/>
      <c r="W76" s="111"/>
      <c r="X76" s="111"/>
      <c r="Y76" s="111"/>
      <c r="Z76" s="111"/>
      <c r="AA76" s="111"/>
      <c r="AB76" s="111"/>
      <c r="AC76" s="112"/>
      <c r="AD76" s="113" t="str">
        <f t="shared" si="15"/>
        <v/>
      </c>
      <c r="AE76" s="114" t="str">
        <f t="shared" si="16"/>
        <v/>
      </c>
      <c r="AF76" s="115" t="str">
        <f t="shared" si="17"/>
        <v/>
      </c>
      <c r="AG76" s="116" t="str">
        <f t="shared" si="18"/>
        <v/>
      </c>
    </row>
    <row r="77" spans="1:33" x14ac:dyDescent="0.25">
      <c r="A77" s="16">
        <f t="shared" si="19"/>
        <v>74</v>
      </c>
      <c r="B77" s="31" t="str">
        <f t="shared" si="20"/>
        <v/>
      </c>
      <c r="C77" s="66" t="str">
        <f t="shared" si="14"/>
        <v/>
      </c>
      <c r="D77" s="92"/>
      <c r="E77" s="93"/>
      <c r="F77" s="93"/>
      <c r="G77" s="93"/>
      <c r="H77" s="94"/>
      <c r="I77" s="93"/>
      <c r="J77" s="93"/>
      <c r="K77" s="93"/>
      <c r="L77" s="93"/>
      <c r="M77" s="93"/>
      <c r="N77" s="95"/>
      <c r="O77" s="95" t="str">
        <f>IF(N77="","",IF('Event Dataset'!N77&lt;='Drop Downs and Assumptions'!$K$2,'Drop Downs and Assumptions'!$L$2,IF(AND('Event Dataset'!N77&gt;='Drop Downs and Assumptions'!$J$3,'Event Dataset'!N77&lt;='Drop Downs and Assumptions'!$K$3),'Drop Downs and Assumptions'!$L$3,IF(AND('Event Dataset'!N77&gt;='Drop Downs and Assumptions'!$J$4,'Event Dataset'!N77&lt;='Drop Downs and Assumptions'!$K$4),'Drop Downs and Assumptions'!$L$4,IF('Event Dataset'!N77&gt;='Drop Downs and Assumptions'!$J$5,'Drop Downs and Assumptions'!$L$5,"")))))</f>
        <v/>
      </c>
      <c r="P77" s="96"/>
      <c r="Q77" s="97"/>
      <c r="R77" s="98"/>
      <c r="S77" s="99"/>
      <c r="T77" s="99"/>
      <c r="U77" s="99"/>
      <c r="V77" s="99"/>
      <c r="W77" s="99"/>
      <c r="X77" s="99"/>
      <c r="Y77" s="99"/>
      <c r="Z77" s="99"/>
      <c r="AA77" s="99"/>
      <c r="AB77" s="99"/>
      <c r="AC77" s="100"/>
      <c r="AD77" s="101" t="str">
        <f t="shared" si="15"/>
        <v/>
      </c>
      <c r="AE77" s="102" t="str">
        <f t="shared" si="16"/>
        <v/>
      </c>
      <c r="AF77" s="103" t="str">
        <f t="shared" si="17"/>
        <v/>
      </c>
      <c r="AG77" s="104" t="str">
        <f t="shared" si="18"/>
        <v/>
      </c>
    </row>
    <row r="78" spans="1:33" x14ac:dyDescent="0.25">
      <c r="A78" s="4">
        <f t="shared" si="19"/>
        <v>75</v>
      </c>
      <c r="B78" s="30" t="str">
        <f t="shared" si="20"/>
        <v/>
      </c>
      <c r="C78" s="67" t="str">
        <f t="shared" si="14"/>
        <v/>
      </c>
      <c r="D78" s="105"/>
      <c r="E78" s="106"/>
      <c r="F78" s="106"/>
      <c r="G78" s="106"/>
      <c r="H78" s="107"/>
      <c r="I78" s="106"/>
      <c r="J78" s="106"/>
      <c r="K78" s="106"/>
      <c r="L78" s="106"/>
      <c r="M78" s="106"/>
      <c r="N78" s="108"/>
      <c r="O78" s="108" t="str">
        <f>IF(N78="","",IF('Event Dataset'!N78&lt;='Drop Downs and Assumptions'!$K$2,'Drop Downs and Assumptions'!$L$2,IF(AND('Event Dataset'!N78&gt;='Drop Downs and Assumptions'!$J$3,'Event Dataset'!N78&lt;='Drop Downs and Assumptions'!$K$3),'Drop Downs and Assumptions'!$L$3,IF(AND('Event Dataset'!N78&gt;='Drop Downs and Assumptions'!$J$4,'Event Dataset'!N78&lt;='Drop Downs and Assumptions'!$K$4),'Drop Downs and Assumptions'!$L$4,IF('Event Dataset'!N78&gt;='Drop Downs and Assumptions'!$J$5,'Drop Downs and Assumptions'!$L$5,"")))))</f>
        <v/>
      </c>
      <c r="P78" s="109"/>
      <c r="Q78" s="97"/>
      <c r="R78" s="110"/>
      <c r="S78" s="111"/>
      <c r="T78" s="111"/>
      <c r="U78" s="111"/>
      <c r="V78" s="111"/>
      <c r="W78" s="111"/>
      <c r="X78" s="111"/>
      <c r="Y78" s="111"/>
      <c r="Z78" s="111"/>
      <c r="AA78" s="111"/>
      <c r="AB78" s="111"/>
      <c r="AC78" s="112"/>
      <c r="AD78" s="113" t="str">
        <f t="shared" si="15"/>
        <v/>
      </c>
      <c r="AE78" s="114" t="str">
        <f t="shared" si="16"/>
        <v/>
      </c>
      <c r="AF78" s="115" t="str">
        <f t="shared" si="17"/>
        <v/>
      </c>
      <c r="AG78" s="116" t="str">
        <f t="shared" si="18"/>
        <v/>
      </c>
    </row>
    <row r="79" spans="1:33" x14ac:dyDescent="0.25">
      <c r="A79" s="16">
        <f t="shared" si="19"/>
        <v>76</v>
      </c>
      <c r="B79" s="31" t="str">
        <f t="shared" si="20"/>
        <v/>
      </c>
      <c r="C79" s="66" t="str">
        <f t="shared" si="14"/>
        <v/>
      </c>
      <c r="D79" s="92"/>
      <c r="E79" s="93"/>
      <c r="F79" s="93"/>
      <c r="G79" s="93"/>
      <c r="H79" s="94"/>
      <c r="I79" s="93"/>
      <c r="J79" s="93"/>
      <c r="K79" s="93"/>
      <c r="L79" s="93"/>
      <c r="M79" s="93"/>
      <c r="N79" s="95"/>
      <c r="O79" s="95" t="str">
        <f>IF(N79="","",IF('Event Dataset'!N79&lt;='Drop Downs and Assumptions'!$K$2,'Drop Downs and Assumptions'!$L$2,IF(AND('Event Dataset'!N79&gt;='Drop Downs and Assumptions'!$J$3,'Event Dataset'!N79&lt;='Drop Downs and Assumptions'!$K$3),'Drop Downs and Assumptions'!$L$3,IF(AND('Event Dataset'!N79&gt;='Drop Downs and Assumptions'!$J$4,'Event Dataset'!N79&lt;='Drop Downs and Assumptions'!$K$4),'Drop Downs and Assumptions'!$L$4,IF('Event Dataset'!N79&gt;='Drop Downs and Assumptions'!$J$5,'Drop Downs and Assumptions'!$L$5,"")))))</f>
        <v/>
      </c>
      <c r="P79" s="96"/>
      <c r="Q79" s="97"/>
      <c r="R79" s="98"/>
      <c r="S79" s="99"/>
      <c r="T79" s="99"/>
      <c r="U79" s="99"/>
      <c r="V79" s="99"/>
      <c r="W79" s="99"/>
      <c r="X79" s="99"/>
      <c r="Y79" s="99"/>
      <c r="Z79" s="99"/>
      <c r="AA79" s="99"/>
      <c r="AB79" s="99"/>
      <c r="AC79" s="100"/>
      <c r="AD79" s="101" t="str">
        <f t="shared" si="15"/>
        <v/>
      </c>
      <c r="AE79" s="102" t="str">
        <f t="shared" si="16"/>
        <v/>
      </c>
      <c r="AF79" s="103" t="str">
        <f t="shared" si="17"/>
        <v/>
      </c>
      <c r="AG79" s="104" t="str">
        <f t="shared" si="18"/>
        <v/>
      </c>
    </row>
    <row r="80" spans="1:33" x14ac:dyDescent="0.25">
      <c r="A80" s="4">
        <f t="shared" si="19"/>
        <v>77</v>
      </c>
      <c r="B80" s="30" t="str">
        <f t="shared" si="20"/>
        <v/>
      </c>
      <c r="C80" s="67" t="str">
        <f t="shared" si="14"/>
        <v/>
      </c>
      <c r="D80" s="105"/>
      <c r="E80" s="106"/>
      <c r="F80" s="106"/>
      <c r="G80" s="106"/>
      <c r="H80" s="107"/>
      <c r="I80" s="106"/>
      <c r="J80" s="106"/>
      <c r="K80" s="106"/>
      <c r="L80" s="106"/>
      <c r="M80" s="106"/>
      <c r="N80" s="108"/>
      <c r="O80" s="108" t="str">
        <f>IF(N80="","",IF('Event Dataset'!N80&lt;='Drop Downs and Assumptions'!$K$2,'Drop Downs and Assumptions'!$L$2,IF(AND('Event Dataset'!N80&gt;='Drop Downs and Assumptions'!$J$3,'Event Dataset'!N80&lt;='Drop Downs and Assumptions'!$K$3),'Drop Downs and Assumptions'!$L$3,IF(AND('Event Dataset'!N80&gt;='Drop Downs and Assumptions'!$J$4,'Event Dataset'!N80&lt;='Drop Downs and Assumptions'!$K$4),'Drop Downs and Assumptions'!$L$4,IF('Event Dataset'!N80&gt;='Drop Downs and Assumptions'!$J$5,'Drop Downs and Assumptions'!$L$5,"")))))</f>
        <v/>
      </c>
      <c r="P80" s="109"/>
      <c r="Q80" s="97"/>
      <c r="R80" s="110"/>
      <c r="S80" s="111"/>
      <c r="T80" s="111"/>
      <c r="U80" s="111"/>
      <c r="V80" s="111"/>
      <c r="W80" s="111"/>
      <c r="X80" s="111"/>
      <c r="Y80" s="111"/>
      <c r="Z80" s="111"/>
      <c r="AA80" s="111"/>
      <c r="AB80" s="111"/>
      <c r="AC80" s="112"/>
      <c r="AD80" s="113" t="str">
        <f t="shared" si="15"/>
        <v/>
      </c>
      <c r="AE80" s="114" t="str">
        <f t="shared" si="16"/>
        <v/>
      </c>
      <c r="AF80" s="115" t="str">
        <f t="shared" si="17"/>
        <v/>
      </c>
      <c r="AG80" s="116" t="str">
        <f t="shared" si="18"/>
        <v/>
      </c>
    </row>
    <row r="81" spans="1:33" x14ac:dyDescent="0.25">
      <c r="A81" s="16">
        <f t="shared" si="19"/>
        <v>78</v>
      </c>
      <c r="B81" s="31" t="str">
        <f t="shared" si="20"/>
        <v/>
      </c>
      <c r="C81" s="66" t="str">
        <f t="shared" si="14"/>
        <v/>
      </c>
      <c r="D81" s="92"/>
      <c r="E81" s="93"/>
      <c r="F81" s="93"/>
      <c r="G81" s="93"/>
      <c r="H81" s="94"/>
      <c r="I81" s="93"/>
      <c r="J81" s="93"/>
      <c r="K81" s="93"/>
      <c r="L81" s="93"/>
      <c r="M81" s="93"/>
      <c r="N81" s="95"/>
      <c r="O81" s="95" t="str">
        <f>IF(N81="","",IF('Event Dataset'!N81&lt;='Drop Downs and Assumptions'!$K$2,'Drop Downs and Assumptions'!$L$2,IF(AND('Event Dataset'!N81&gt;='Drop Downs and Assumptions'!$J$3,'Event Dataset'!N81&lt;='Drop Downs and Assumptions'!$K$3),'Drop Downs and Assumptions'!$L$3,IF(AND('Event Dataset'!N81&gt;='Drop Downs and Assumptions'!$J$4,'Event Dataset'!N81&lt;='Drop Downs and Assumptions'!$K$4),'Drop Downs and Assumptions'!$L$4,IF('Event Dataset'!N81&gt;='Drop Downs and Assumptions'!$J$5,'Drop Downs and Assumptions'!$L$5,"")))))</f>
        <v/>
      </c>
      <c r="P81" s="96"/>
      <c r="Q81" s="97"/>
      <c r="R81" s="98"/>
      <c r="S81" s="99"/>
      <c r="T81" s="99"/>
      <c r="U81" s="99"/>
      <c r="V81" s="99"/>
      <c r="W81" s="99"/>
      <c r="X81" s="99"/>
      <c r="Y81" s="99"/>
      <c r="Z81" s="99"/>
      <c r="AA81" s="99"/>
      <c r="AB81" s="99"/>
      <c r="AC81" s="100"/>
      <c r="AD81" s="101" t="str">
        <f t="shared" si="15"/>
        <v/>
      </c>
      <c r="AE81" s="102" t="str">
        <f t="shared" si="16"/>
        <v/>
      </c>
      <c r="AF81" s="103" t="str">
        <f t="shared" si="17"/>
        <v/>
      </c>
      <c r="AG81" s="104" t="str">
        <f t="shared" si="18"/>
        <v/>
      </c>
    </row>
    <row r="82" spans="1:33" x14ac:dyDescent="0.25">
      <c r="A82" s="4">
        <f t="shared" si="19"/>
        <v>79</v>
      </c>
      <c r="B82" s="30" t="str">
        <f t="shared" si="20"/>
        <v/>
      </c>
      <c r="C82" s="67" t="str">
        <f t="shared" si="14"/>
        <v/>
      </c>
      <c r="D82" s="105"/>
      <c r="E82" s="106"/>
      <c r="F82" s="106"/>
      <c r="G82" s="106"/>
      <c r="H82" s="107"/>
      <c r="I82" s="106"/>
      <c r="J82" s="106"/>
      <c r="K82" s="106"/>
      <c r="L82" s="106"/>
      <c r="M82" s="106"/>
      <c r="N82" s="108"/>
      <c r="O82" s="108" t="str">
        <f>IF(N82="","",IF('Event Dataset'!N82&lt;='Drop Downs and Assumptions'!$K$2,'Drop Downs and Assumptions'!$L$2,IF(AND('Event Dataset'!N82&gt;='Drop Downs and Assumptions'!$J$3,'Event Dataset'!N82&lt;='Drop Downs and Assumptions'!$K$3),'Drop Downs and Assumptions'!$L$3,IF(AND('Event Dataset'!N82&gt;='Drop Downs and Assumptions'!$J$4,'Event Dataset'!N82&lt;='Drop Downs and Assumptions'!$K$4),'Drop Downs and Assumptions'!$L$4,IF('Event Dataset'!N82&gt;='Drop Downs and Assumptions'!$J$5,'Drop Downs and Assumptions'!$L$5,"")))))</f>
        <v/>
      </c>
      <c r="P82" s="109"/>
      <c r="Q82" s="97"/>
      <c r="R82" s="110"/>
      <c r="S82" s="111"/>
      <c r="T82" s="111"/>
      <c r="U82" s="111"/>
      <c r="V82" s="111"/>
      <c r="W82" s="111"/>
      <c r="X82" s="111"/>
      <c r="Y82" s="111"/>
      <c r="Z82" s="111"/>
      <c r="AA82" s="111"/>
      <c r="AB82" s="111"/>
      <c r="AC82" s="112"/>
      <c r="AD82" s="113" t="str">
        <f t="shared" si="15"/>
        <v/>
      </c>
      <c r="AE82" s="114" t="str">
        <f t="shared" si="16"/>
        <v/>
      </c>
      <c r="AF82" s="115" t="str">
        <f t="shared" si="17"/>
        <v/>
      </c>
      <c r="AG82" s="116" t="str">
        <f t="shared" si="18"/>
        <v/>
      </c>
    </row>
    <row r="83" spans="1:33" x14ac:dyDescent="0.25">
      <c r="A83" s="16">
        <f t="shared" si="19"/>
        <v>80</v>
      </c>
      <c r="B83" s="31" t="str">
        <f t="shared" si="20"/>
        <v/>
      </c>
      <c r="C83" s="66" t="str">
        <f t="shared" si="14"/>
        <v/>
      </c>
      <c r="D83" s="92"/>
      <c r="E83" s="93"/>
      <c r="F83" s="93"/>
      <c r="G83" s="93"/>
      <c r="H83" s="94"/>
      <c r="I83" s="93"/>
      <c r="J83" s="93"/>
      <c r="K83" s="93"/>
      <c r="L83" s="93"/>
      <c r="M83" s="93"/>
      <c r="N83" s="95"/>
      <c r="O83" s="95" t="str">
        <f>IF(N83="","",IF('Event Dataset'!N83&lt;='Drop Downs and Assumptions'!$K$2,'Drop Downs and Assumptions'!$L$2,IF(AND('Event Dataset'!N83&gt;='Drop Downs and Assumptions'!$J$3,'Event Dataset'!N83&lt;='Drop Downs and Assumptions'!$K$3),'Drop Downs and Assumptions'!$L$3,IF(AND('Event Dataset'!N83&gt;='Drop Downs and Assumptions'!$J$4,'Event Dataset'!N83&lt;='Drop Downs and Assumptions'!$K$4),'Drop Downs and Assumptions'!$L$4,IF('Event Dataset'!N83&gt;='Drop Downs and Assumptions'!$J$5,'Drop Downs and Assumptions'!$L$5,"")))))</f>
        <v/>
      </c>
      <c r="P83" s="96"/>
      <c r="Q83" s="97"/>
      <c r="R83" s="98"/>
      <c r="S83" s="99"/>
      <c r="T83" s="99"/>
      <c r="U83" s="99"/>
      <c r="V83" s="99"/>
      <c r="W83" s="99"/>
      <c r="X83" s="99"/>
      <c r="Y83" s="99"/>
      <c r="Z83" s="99"/>
      <c r="AA83" s="99"/>
      <c r="AB83" s="99"/>
      <c r="AC83" s="100"/>
      <c r="AD83" s="101" t="str">
        <f t="shared" si="15"/>
        <v/>
      </c>
      <c r="AE83" s="102" t="str">
        <f t="shared" si="16"/>
        <v/>
      </c>
      <c r="AF83" s="103" t="str">
        <f t="shared" si="17"/>
        <v/>
      </c>
      <c r="AG83" s="104" t="str">
        <f t="shared" si="18"/>
        <v/>
      </c>
    </row>
    <row r="84" spans="1:33" x14ac:dyDescent="0.25">
      <c r="A84" s="4">
        <f t="shared" si="19"/>
        <v>81</v>
      </c>
      <c r="B84" s="30" t="str">
        <f t="shared" si="20"/>
        <v/>
      </c>
      <c r="C84" s="67" t="str">
        <f t="shared" si="14"/>
        <v/>
      </c>
      <c r="D84" s="105"/>
      <c r="E84" s="106"/>
      <c r="F84" s="106"/>
      <c r="G84" s="106"/>
      <c r="H84" s="107"/>
      <c r="I84" s="106"/>
      <c r="J84" s="106"/>
      <c r="K84" s="106"/>
      <c r="L84" s="106"/>
      <c r="M84" s="106"/>
      <c r="N84" s="108"/>
      <c r="O84" s="108" t="str">
        <f>IF(N84="","",IF('Event Dataset'!N84&lt;='Drop Downs and Assumptions'!$K$2,'Drop Downs and Assumptions'!$L$2,IF(AND('Event Dataset'!N84&gt;='Drop Downs and Assumptions'!$J$3,'Event Dataset'!N84&lt;='Drop Downs and Assumptions'!$K$3),'Drop Downs and Assumptions'!$L$3,IF(AND('Event Dataset'!N84&gt;='Drop Downs and Assumptions'!$J$4,'Event Dataset'!N84&lt;='Drop Downs and Assumptions'!$K$4),'Drop Downs and Assumptions'!$L$4,IF('Event Dataset'!N84&gt;='Drop Downs and Assumptions'!$J$5,'Drop Downs and Assumptions'!$L$5,"")))))</f>
        <v/>
      </c>
      <c r="P84" s="109"/>
      <c r="Q84" s="97"/>
      <c r="R84" s="110"/>
      <c r="S84" s="111"/>
      <c r="T84" s="111"/>
      <c r="U84" s="111"/>
      <c r="V84" s="111"/>
      <c r="W84" s="111"/>
      <c r="X84" s="111"/>
      <c r="Y84" s="111"/>
      <c r="Z84" s="111"/>
      <c r="AA84" s="111"/>
      <c r="AB84" s="111"/>
      <c r="AC84" s="112"/>
      <c r="AD84" s="113" t="str">
        <f t="shared" si="15"/>
        <v/>
      </c>
      <c r="AE84" s="114" t="str">
        <f t="shared" si="16"/>
        <v/>
      </c>
      <c r="AF84" s="115" t="str">
        <f t="shared" si="17"/>
        <v/>
      </c>
      <c r="AG84" s="116" t="str">
        <f t="shared" si="18"/>
        <v/>
      </c>
    </row>
    <row r="85" spans="1:33" x14ac:dyDescent="0.25">
      <c r="A85" s="16">
        <f t="shared" si="19"/>
        <v>82</v>
      </c>
      <c r="B85" s="31" t="str">
        <f t="shared" si="20"/>
        <v/>
      </c>
      <c r="C85" s="66" t="str">
        <f t="shared" si="14"/>
        <v/>
      </c>
      <c r="D85" s="92"/>
      <c r="E85" s="93"/>
      <c r="F85" s="93"/>
      <c r="G85" s="93"/>
      <c r="H85" s="94"/>
      <c r="I85" s="93"/>
      <c r="J85" s="93"/>
      <c r="K85" s="93"/>
      <c r="L85" s="93"/>
      <c r="M85" s="93"/>
      <c r="N85" s="95"/>
      <c r="O85" s="95" t="str">
        <f>IF(N85="","",IF('Event Dataset'!N85&lt;='Drop Downs and Assumptions'!$K$2,'Drop Downs and Assumptions'!$L$2,IF(AND('Event Dataset'!N85&gt;='Drop Downs and Assumptions'!$J$3,'Event Dataset'!N85&lt;='Drop Downs and Assumptions'!$K$3),'Drop Downs and Assumptions'!$L$3,IF(AND('Event Dataset'!N85&gt;='Drop Downs and Assumptions'!$J$4,'Event Dataset'!N85&lt;='Drop Downs and Assumptions'!$K$4),'Drop Downs and Assumptions'!$L$4,IF('Event Dataset'!N85&gt;='Drop Downs and Assumptions'!$J$5,'Drop Downs and Assumptions'!$L$5,"")))))</f>
        <v/>
      </c>
      <c r="P85" s="96"/>
      <c r="Q85" s="97"/>
      <c r="R85" s="98"/>
      <c r="S85" s="99"/>
      <c r="T85" s="99"/>
      <c r="U85" s="99"/>
      <c r="V85" s="99"/>
      <c r="W85" s="99"/>
      <c r="X85" s="99"/>
      <c r="Y85" s="99"/>
      <c r="Z85" s="99"/>
      <c r="AA85" s="99"/>
      <c r="AB85" s="99"/>
      <c r="AC85" s="100"/>
      <c r="AD85" s="101" t="str">
        <f t="shared" si="15"/>
        <v/>
      </c>
      <c r="AE85" s="102" t="str">
        <f t="shared" si="16"/>
        <v/>
      </c>
      <c r="AF85" s="103" t="str">
        <f t="shared" si="17"/>
        <v/>
      </c>
      <c r="AG85" s="104" t="str">
        <f t="shared" si="18"/>
        <v/>
      </c>
    </row>
    <row r="86" spans="1:33" x14ac:dyDescent="0.25">
      <c r="A86" s="4">
        <f t="shared" si="19"/>
        <v>83</v>
      </c>
      <c r="B86" s="30" t="str">
        <f t="shared" si="20"/>
        <v/>
      </c>
      <c r="C86" s="67" t="str">
        <f t="shared" si="14"/>
        <v/>
      </c>
      <c r="D86" s="105"/>
      <c r="E86" s="106"/>
      <c r="F86" s="106"/>
      <c r="G86" s="106"/>
      <c r="H86" s="107"/>
      <c r="I86" s="106"/>
      <c r="J86" s="106"/>
      <c r="K86" s="106"/>
      <c r="L86" s="106"/>
      <c r="M86" s="106"/>
      <c r="N86" s="108"/>
      <c r="O86" s="108" t="str">
        <f>IF(N86="","",IF('Event Dataset'!N86&lt;='Drop Downs and Assumptions'!$K$2,'Drop Downs and Assumptions'!$L$2,IF(AND('Event Dataset'!N86&gt;='Drop Downs and Assumptions'!$J$3,'Event Dataset'!N86&lt;='Drop Downs and Assumptions'!$K$3),'Drop Downs and Assumptions'!$L$3,IF(AND('Event Dataset'!N86&gt;='Drop Downs and Assumptions'!$J$4,'Event Dataset'!N86&lt;='Drop Downs and Assumptions'!$K$4),'Drop Downs and Assumptions'!$L$4,IF('Event Dataset'!N86&gt;='Drop Downs and Assumptions'!$J$5,'Drop Downs and Assumptions'!$L$5,"")))))</f>
        <v/>
      </c>
      <c r="P86" s="109"/>
      <c r="Q86" s="97"/>
      <c r="R86" s="110"/>
      <c r="S86" s="111"/>
      <c r="T86" s="111"/>
      <c r="U86" s="111"/>
      <c r="V86" s="111"/>
      <c r="W86" s="111"/>
      <c r="X86" s="111"/>
      <c r="Y86" s="111"/>
      <c r="Z86" s="111"/>
      <c r="AA86" s="111"/>
      <c r="AB86" s="111"/>
      <c r="AC86" s="112"/>
      <c r="AD86" s="113" t="str">
        <f t="shared" si="15"/>
        <v/>
      </c>
      <c r="AE86" s="114" t="str">
        <f t="shared" si="16"/>
        <v/>
      </c>
      <c r="AF86" s="115" t="str">
        <f t="shared" si="17"/>
        <v/>
      </c>
      <c r="AG86" s="116" t="str">
        <f t="shared" si="18"/>
        <v/>
      </c>
    </row>
    <row r="87" spans="1:33" x14ac:dyDescent="0.25">
      <c r="A87" s="16">
        <f t="shared" si="19"/>
        <v>84</v>
      </c>
      <c r="B87" s="31" t="str">
        <f t="shared" si="20"/>
        <v/>
      </c>
      <c r="C87" s="66" t="str">
        <f t="shared" si="14"/>
        <v/>
      </c>
      <c r="D87" s="92"/>
      <c r="E87" s="93"/>
      <c r="F87" s="93"/>
      <c r="G87" s="93"/>
      <c r="H87" s="94"/>
      <c r="I87" s="93"/>
      <c r="J87" s="93"/>
      <c r="K87" s="93"/>
      <c r="L87" s="93"/>
      <c r="M87" s="93"/>
      <c r="N87" s="95"/>
      <c r="O87" s="95" t="str">
        <f>IF(N87="","",IF('Event Dataset'!N87&lt;='Drop Downs and Assumptions'!$K$2,'Drop Downs and Assumptions'!$L$2,IF(AND('Event Dataset'!N87&gt;='Drop Downs and Assumptions'!$J$3,'Event Dataset'!N87&lt;='Drop Downs and Assumptions'!$K$3),'Drop Downs and Assumptions'!$L$3,IF(AND('Event Dataset'!N87&gt;='Drop Downs and Assumptions'!$J$4,'Event Dataset'!N87&lt;='Drop Downs and Assumptions'!$K$4),'Drop Downs and Assumptions'!$L$4,IF('Event Dataset'!N87&gt;='Drop Downs and Assumptions'!$J$5,'Drop Downs and Assumptions'!$L$5,"")))))</f>
        <v/>
      </c>
      <c r="P87" s="96"/>
      <c r="Q87" s="97"/>
      <c r="R87" s="98"/>
      <c r="S87" s="99"/>
      <c r="T87" s="99"/>
      <c r="U87" s="99"/>
      <c r="V87" s="99"/>
      <c r="W87" s="99"/>
      <c r="X87" s="99"/>
      <c r="Y87" s="99"/>
      <c r="Z87" s="99"/>
      <c r="AA87" s="99"/>
      <c r="AB87" s="99"/>
      <c r="AC87" s="100"/>
      <c r="AD87" s="101" t="str">
        <f t="shared" si="15"/>
        <v/>
      </c>
      <c r="AE87" s="102" t="str">
        <f t="shared" si="16"/>
        <v/>
      </c>
      <c r="AF87" s="103" t="str">
        <f t="shared" si="17"/>
        <v/>
      </c>
      <c r="AG87" s="104" t="str">
        <f t="shared" si="18"/>
        <v/>
      </c>
    </row>
    <row r="88" spans="1:33" x14ac:dyDescent="0.25">
      <c r="A88" s="4">
        <f t="shared" si="19"/>
        <v>85</v>
      </c>
      <c r="B88" s="30" t="str">
        <f t="shared" si="20"/>
        <v/>
      </c>
      <c r="C88" s="67" t="str">
        <f t="shared" si="14"/>
        <v/>
      </c>
      <c r="D88" s="105"/>
      <c r="E88" s="106"/>
      <c r="F88" s="106"/>
      <c r="G88" s="106"/>
      <c r="H88" s="107"/>
      <c r="I88" s="106"/>
      <c r="J88" s="106"/>
      <c r="K88" s="106"/>
      <c r="L88" s="106"/>
      <c r="M88" s="106"/>
      <c r="N88" s="108"/>
      <c r="O88" s="108" t="str">
        <f>IF(N88="","",IF('Event Dataset'!N88&lt;='Drop Downs and Assumptions'!$K$2,'Drop Downs and Assumptions'!$L$2,IF(AND('Event Dataset'!N88&gt;='Drop Downs and Assumptions'!$J$3,'Event Dataset'!N88&lt;='Drop Downs and Assumptions'!$K$3),'Drop Downs and Assumptions'!$L$3,IF(AND('Event Dataset'!N88&gt;='Drop Downs and Assumptions'!$J$4,'Event Dataset'!N88&lt;='Drop Downs and Assumptions'!$K$4),'Drop Downs and Assumptions'!$L$4,IF('Event Dataset'!N88&gt;='Drop Downs and Assumptions'!$J$5,'Drop Downs and Assumptions'!$L$5,"")))))</f>
        <v/>
      </c>
      <c r="P88" s="109"/>
      <c r="Q88" s="97"/>
      <c r="R88" s="110"/>
      <c r="S88" s="111"/>
      <c r="T88" s="111"/>
      <c r="U88" s="111"/>
      <c r="V88" s="111"/>
      <c r="W88" s="111"/>
      <c r="X88" s="111"/>
      <c r="Y88" s="111"/>
      <c r="Z88" s="111"/>
      <c r="AA88" s="111"/>
      <c r="AB88" s="111"/>
      <c r="AC88" s="112"/>
      <c r="AD88" s="113" t="str">
        <f t="shared" si="15"/>
        <v/>
      </c>
      <c r="AE88" s="114" t="str">
        <f t="shared" si="16"/>
        <v/>
      </c>
      <c r="AF88" s="115" t="str">
        <f t="shared" si="17"/>
        <v/>
      </c>
      <c r="AG88" s="116" t="str">
        <f t="shared" si="18"/>
        <v/>
      </c>
    </row>
    <row r="89" spans="1:33" x14ac:dyDescent="0.25">
      <c r="A89" s="16">
        <f t="shared" si="19"/>
        <v>86</v>
      </c>
      <c r="B89" s="31" t="str">
        <f t="shared" si="20"/>
        <v/>
      </c>
      <c r="C89" s="66" t="str">
        <f t="shared" si="14"/>
        <v/>
      </c>
      <c r="D89" s="92"/>
      <c r="E89" s="93"/>
      <c r="F89" s="93"/>
      <c r="G89" s="93"/>
      <c r="H89" s="94"/>
      <c r="I89" s="93"/>
      <c r="J89" s="93"/>
      <c r="K89" s="93"/>
      <c r="L89" s="93"/>
      <c r="M89" s="93"/>
      <c r="N89" s="95"/>
      <c r="O89" s="95" t="str">
        <f>IF(N89="","",IF('Event Dataset'!N89&lt;='Drop Downs and Assumptions'!$K$2,'Drop Downs and Assumptions'!$L$2,IF(AND('Event Dataset'!N89&gt;='Drop Downs and Assumptions'!$J$3,'Event Dataset'!N89&lt;='Drop Downs and Assumptions'!$K$3),'Drop Downs and Assumptions'!$L$3,IF(AND('Event Dataset'!N89&gt;='Drop Downs and Assumptions'!$J$4,'Event Dataset'!N89&lt;='Drop Downs and Assumptions'!$K$4),'Drop Downs and Assumptions'!$L$4,IF('Event Dataset'!N89&gt;='Drop Downs and Assumptions'!$J$5,'Drop Downs and Assumptions'!$L$5,"")))))</f>
        <v/>
      </c>
      <c r="P89" s="96"/>
      <c r="Q89" s="97"/>
      <c r="R89" s="98"/>
      <c r="S89" s="99"/>
      <c r="T89" s="99"/>
      <c r="U89" s="99"/>
      <c r="V89" s="99"/>
      <c r="W89" s="99"/>
      <c r="X89" s="99"/>
      <c r="Y89" s="99"/>
      <c r="Z89" s="99"/>
      <c r="AA89" s="99"/>
      <c r="AB89" s="99"/>
      <c r="AC89" s="100"/>
      <c r="AD89" s="101" t="str">
        <f t="shared" si="15"/>
        <v/>
      </c>
      <c r="AE89" s="102" t="str">
        <f t="shared" si="16"/>
        <v/>
      </c>
      <c r="AF89" s="103" t="str">
        <f t="shared" si="17"/>
        <v/>
      </c>
      <c r="AG89" s="104" t="str">
        <f t="shared" si="18"/>
        <v/>
      </c>
    </row>
    <row r="90" spans="1:33" x14ac:dyDescent="0.25">
      <c r="A90" s="4">
        <f t="shared" si="19"/>
        <v>87</v>
      </c>
      <c r="B90" s="30" t="str">
        <f t="shared" si="20"/>
        <v/>
      </c>
      <c r="C90" s="67" t="str">
        <f t="shared" si="14"/>
        <v/>
      </c>
      <c r="D90" s="105"/>
      <c r="E90" s="106"/>
      <c r="F90" s="106"/>
      <c r="G90" s="106"/>
      <c r="H90" s="107"/>
      <c r="I90" s="106"/>
      <c r="J90" s="106"/>
      <c r="K90" s="106"/>
      <c r="L90" s="106"/>
      <c r="M90" s="106"/>
      <c r="N90" s="108"/>
      <c r="O90" s="108" t="str">
        <f>IF(N90="","",IF('Event Dataset'!N90&lt;='Drop Downs and Assumptions'!$K$2,'Drop Downs and Assumptions'!$L$2,IF(AND('Event Dataset'!N90&gt;='Drop Downs and Assumptions'!$J$3,'Event Dataset'!N90&lt;='Drop Downs and Assumptions'!$K$3),'Drop Downs and Assumptions'!$L$3,IF(AND('Event Dataset'!N90&gt;='Drop Downs and Assumptions'!$J$4,'Event Dataset'!N90&lt;='Drop Downs and Assumptions'!$K$4),'Drop Downs and Assumptions'!$L$4,IF('Event Dataset'!N90&gt;='Drop Downs and Assumptions'!$J$5,'Drop Downs and Assumptions'!$L$5,"")))))</f>
        <v/>
      </c>
      <c r="P90" s="109"/>
      <c r="Q90" s="97"/>
      <c r="R90" s="110"/>
      <c r="S90" s="111"/>
      <c r="T90" s="111"/>
      <c r="U90" s="111"/>
      <c r="V90" s="111"/>
      <c r="W90" s="111"/>
      <c r="X90" s="111"/>
      <c r="Y90" s="111"/>
      <c r="Z90" s="111"/>
      <c r="AA90" s="111"/>
      <c r="AB90" s="111"/>
      <c r="AC90" s="112"/>
      <c r="AD90" s="113" t="str">
        <f t="shared" si="15"/>
        <v/>
      </c>
      <c r="AE90" s="114" t="str">
        <f t="shared" si="16"/>
        <v/>
      </c>
      <c r="AF90" s="115" t="str">
        <f t="shared" si="17"/>
        <v/>
      </c>
      <c r="AG90" s="116" t="str">
        <f t="shared" si="18"/>
        <v/>
      </c>
    </row>
    <row r="91" spans="1:33" x14ac:dyDescent="0.25">
      <c r="A91" s="16">
        <f t="shared" si="19"/>
        <v>88</v>
      </c>
      <c r="B91" s="31" t="str">
        <f t="shared" si="20"/>
        <v/>
      </c>
      <c r="C91" s="66" t="str">
        <f t="shared" si="14"/>
        <v/>
      </c>
      <c r="D91" s="92"/>
      <c r="E91" s="93"/>
      <c r="F91" s="93"/>
      <c r="G91" s="93"/>
      <c r="H91" s="94"/>
      <c r="I91" s="93"/>
      <c r="J91" s="93"/>
      <c r="K91" s="93"/>
      <c r="L91" s="93"/>
      <c r="M91" s="93"/>
      <c r="N91" s="95"/>
      <c r="O91" s="95" t="str">
        <f>IF(N91="","",IF('Event Dataset'!N91&lt;='Drop Downs and Assumptions'!$K$2,'Drop Downs and Assumptions'!$L$2,IF(AND('Event Dataset'!N91&gt;='Drop Downs and Assumptions'!$J$3,'Event Dataset'!N91&lt;='Drop Downs and Assumptions'!$K$3),'Drop Downs and Assumptions'!$L$3,IF(AND('Event Dataset'!N91&gt;='Drop Downs and Assumptions'!$J$4,'Event Dataset'!N91&lt;='Drop Downs and Assumptions'!$K$4),'Drop Downs and Assumptions'!$L$4,IF('Event Dataset'!N91&gt;='Drop Downs and Assumptions'!$J$5,'Drop Downs and Assumptions'!$L$5,"")))))</f>
        <v/>
      </c>
      <c r="P91" s="96"/>
      <c r="Q91" s="97"/>
      <c r="R91" s="98"/>
      <c r="S91" s="99"/>
      <c r="T91" s="99"/>
      <c r="U91" s="99"/>
      <c r="V91" s="99"/>
      <c r="W91" s="99"/>
      <c r="X91" s="99"/>
      <c r="Y91" s="99"/>
      <c r="Z91" s="99"/>
      <c r="AA91" s="99"/>
      <c r="AB91" s="99"/>
      <c r="AC91" s="100"/>
      <c r="AD91" s="101" t="str">
        <f t="shared" si="15"/>
        <v/>
      </c>
      <c r="AE91" s="102" t="str">
        <f t="shared" si="16"/>
        <v/>
      </c>
      <c r="AF91" s="103" t="str">
        <f t="shared" si="17"/>
        <v/>
      </c>
      <c r="AG91" s="104" t="str">
        <f t="shared" si="18"/>
        <v/>
      </c>
    </row>
    <row r="92" spans="1:33" x14ac:dyDescent="0.25">
      <c r="A92" s="4">
        <f t="shared" si="19"/>
        <v>89</v>
      </c>
      <c r="B92" s="30" t="str">
        <f t="shared" si="20"/>
        <v/>
      </c>
      <c r="C92" s="67" t="str">
        <f t="shared" si="14"/>
        <v/>
      </c>
      <c r="D92" s="105"/>
      <c r="E92" s="106"/>
      <c r="F92" s="106"/>
      <c r="G92" s="106"/>
      <c r="H92" s="107"/>
      <c r="I92" s="106"/>
      <c r="J92" s="106"/>
      <c r="K92" s="106"/>
      <c r="L92" s="106"/>
      <c r="M92" s="106"/>
      <c r="N92" s="108"/>
      <c r="O92" s="108" t="str">
        <f>IF(N92="","",IF('Event Dataset'!N92&lt;='Drop Downs and Assumptions'!$K$2,'Drop Downs and Assumptions'!$L$2,IF(AND('Event Dataset'!N92&gt;='Drop Downs and Assumptions'!$J$3,'Event Dataset'!N92&lt;='Drop Downs and Assumptions'!$K$3),'Drop Downs and Assumptions'!$L$3,IF(AND('Event Dataset'!N92&gt;='Drop Downs and Assumptions'!$J$4,'Event Dataset'!N92&lt;='Drop Downs and Assumptions'!$K$4),'Drop Downs and Assumptions'!$L$4,IF('Event Dataset'!N92&gt;='Drop Downs and Assumptions'!$J$5,'Drop Downs and Assumptions'!$L$5,"")))))</f>
        <v/>
      </c>
      <c r="P92" s="109"/>
      <c r="Q92" s="97"/>
      <c r="R92" s="110"/>
      <c r="S92" s="111"/>
      <c r="T92" s="111"/>
      <c r="U92" s="111"/>
      <c r="V92" s="111"/>
      <c r="W92" s="111"/>
      <c r="X92" s="111"/>
      <c r="Y92" s="111"/>
      <c r="Z92" s="111"/>
      <c r="AA92" s="111"/>
      <c r="AB92" s="111"/>
      <c r="AC92" s="112"/>
      <c r="AD92" s="113" t="str">
        <f t="shared" si="15"/>
        <v/>
      </c>
      <c r="AE92" s="114" t="str">
        <f t="shared" si="16"/>
        <v/>
      </c>
      <c r="AF92" s="115" t="str">
        <f t="shared" si="17"/>
        <v/>
      </c>
      <c r="AG92" s="116" t="str">
        <f t="shared" si="18"/>
        <v/>
      </c>
    </row>
    <row r="93" spans="1:33" x14ac:dyDescent="0.25">
      <c r="A93" s="16">
        <f t="shared" si="19"/>
        <v>90</v>
      </c>
      <c r="B93" s="31" t="str">
        <f t="shared" si="20"/>
        <v/>
      </c>
      <c r="C93" s="66" t="str">
        <f t="shared" si="14"/>
        <v/>
      </c>
      <c r="D93" s="92"/>
      <c r="E93" s="93"/>
      <c r="F93" s="93"/>
      <c r="G93" s="93"/>
      <c r="H93" s="94"/>
      <c r="I93" s="93"/>
      <c r="J93" s="93"/>
      <c r="K93" s="93"/>
      <c r="L93" s="93"/>
      <c r="M93" s="93"/>
      <c r="N93" s="95"/>
      <c r="O93" s="95" t="str">
        <f>IF(N93="","",IF('Event Dataset'!N93&lt;='Drop Downs and Assumptions'!$K$2,'Drop Downs and Assumptions'!$L$2,IF(AND('Event Dataset'!N93&gt;='Drop Downs and Assumptions'!$J$3,'Event Dataset'!N93&lt;='Drop Downs and Assumptions'!$K$3),'Drop Downs and Assumptions'!$L$3,IF(AND('Event Dataset'!N93&gt;='Drop Downs and Assumptions'!$J$4,'Event Dataset'!N93&lt;='Drop Downs and Assumptions'!$K$4),'Drop Downs and Assumptions'!$L$4,IF('Event Dataset'!N93&gt;='Drop Downs and Assumptions'!$J$5,'Drop Downs and Assumptions'!$L$5,"")))))</f>
        <v/>
      </c>
      <c r="P93" s="96"/>
      <c r="Q93" s="97"/>
      <c r="R93" s="98"/>
      <c r="S93" s="99"/>
      <c r="T93" s="99"/>
      <c r="U93" s="99"/>
      <c r="V93" s="99"/>
      <c r="W93" s="99"/>
      <c r="X93" s="99"/>
      <c r="Y93" s="99"/>
      <c r="Z93" s="99"/>
      <c r="AA93" s="99"/>
      <c r="AB93" s="99"/>
      <c r="AC93" s="100"/>
      <c r="AD93" s="101" t="str">
        <f t="shared" si="15"/>
        <v/>
      </c>
      <c r="AE93" s="102" t="str">
        <f t="shared" si="16"/>
        <v/>
      </c>
      <c r="AF93" s="103" t="str">
        <f t="shared" si="17"/>
        <v/>
      </c>
      <c r="AG93" s="104" t="str">
        <f t="shared" si="18"/>
        <v/>
      </c>
    </row>
    <row r="94" spans="1:33" x14ac:dyDescent="0.25">
      <c r="A94" s="4">
        <f t="shared" si="19"/>
        <v>91</v>
      </c>
      <c r="B94" s="30" t="str">
        <f t="shared" si="20"/>
        <v/>
      </c>
      <c r="C94" s="67" t="str">
        <f t="shared" si="14"/>
        <v/>
      </c>
      <c r="D94" s="105"/>
      <c r="E94" s="106"/>
      <c r="F94" s="106"/>
      <c r="G94" s="106"/>
      <c r="H94" s="107"/>
      <c r="I94" s="106"/>
      <c r="J94" s="106"/>
      <c r="K94" s="106"/>
      <c r="L94" s="106"/>
      <c r="M94" s="106"/>
      <c r="N94" s="108"/>
      <c r="O94" s="108" t="str">
        <f>IF(N94="","",IF('Event Dataset'!N94&lt;='Drop Downs and Assumptions'!$K$2,'Drop Downs and Assumptions'!$L$2,IF(AND('Event Dataset'!N94&gt;='Drop Downs and Assumptions'!$J$3,'Event Dataset'!N94&lt;='Drop Downs and Assumptions'!$K$3),'Drop Downs and Assumptions'!$L$3,IF(AND('Event Dataset'!N94&gt;='Drop Downs and Assumptions'!$J$4,'Event Dataset'!N94&lt;='Drop Downs and Assumptions'!$K$4),'Drop Downs and Assumptions'!$L$4,IF('Event Dataset'!N94&gt;='Drop Downs and Assumptions'!$J$5,'Drop Downs and Assumptions'!$L$5,"")))))</f>
        <v/>
      </c>
      <c r="P94" s="109"/>
      <c r="Q94" s="97"/>
      <c r="R94" s="110"/>
      <c r="S94" s="111"/>
      <c r="T94" s="111"/>
      <c r="U94" s="111"/>
      <c r="V94" s="111"/>
      <c r="W94" s="111"/>
      <c r="X94" s="111"/>
      <c r="Y94" s="111"/>
      <c r="Z94" s="111"/>
      <c r="AA94" s="111"/>
      <c r="AB94" s="111"/>
      <c r="AC94" s="112"/>
      <c r="AD94" s="113" t="str">
        <f t="shared" si="15"/>
        <v/>
      </c>
      <c r="AE94" s="114" t="str">
        <f t="shared" si="16"/>
        <v/>
      </c>
      <c r="AF94" s="115" t="str">
        <f t="shared" si="17"/>
        <v/>
      </c>
      <c r="AG94" s="116" t="str">
        <f t="shared" si="18"/>
        <v/>
      </c>
    </row>
    <row r="95" spans="1:33" x14ac:dyDescent="0.25">
      <c r="A95" s="16">
        <f t="shared" si="19"/>
        <v>92</v>
      </c>
      <c r="B95" s="31" t="str">
        <f t="shared" si="20"/>
        <v/>
      </c>
      <c r="C95" s="66" t="str">
        <f t="shared" si="14"/>
        <v/>
      </c>
      <c r="D95" s="92"/>
      <c r="E95" s="93"/>
      <c r="F95" s="93"/>
      <c r="G95" s="93"/>
      <c r="H95" s="94"/>
      <c r="I95" s="93"/>
      <c r="J95" s="93"/>
      <c r="K95" s="93"/>
      <c r="L95" s="93"/>
      <c r="M95" s="93"/>
      <c r="N95" s="95"/>
      <c r="O95" s="95" t="str">
        <f>IF(N95="","",IF('Event Dataset'!N95&lt;='Drop Downs and Assumptions'!$K$2,'Drop Downs and Assumptions'!$L$2,IF(AND('Event Dataset'!N95&gt;='Drop Downs and Assumptions'!$J$3,'Event Dataset'!N95&lt;='Drop Downs and Assumptions'!$K$3),'Drop Downs and Assumptions'!$L$3,IF(AND('Event Dataset'!N95&gt;='Drop Downs and Assumptions'!$J$4,'Event Dataset'!N95&lt;='Drop Downs and Assumptions'!$K$4),'Drop Downs and Assumptions'!$L$4,IF('Event Dataset'!N95&gt;='Drop Downs and Assumptions'!$J$5,'Drop Downs and Assumptions'!$L$5,"")))))</f>
        <v/>
      </c>
      <c r="P95" s="96"/>
      <c r="Q95" s="97"/>
      <c r="R95" s="98"/>
      <c r="S95" s="99"/>
      <c r="T95" s="99"/>
      <c r="U95" s="99"/>
      <c r="V95" s="99"/>
      <c r="W95" s="99"/>
      <c r="X95" s="99"/>
      <c r="Y95" s="99"/>
      <c r="Z95" s="99"/>
      <c r="AA95" s="99"/>
      <c r="AB95" s="99"/>
      <c r="AC95" s="100"/>
      <c r="AD95" s="101" t="str">
        <f t="shared" si="15"/>
        <v/>
      </c>
      <c r="AE95" s="102" t="str">
        <f t="shared" si="16"/>
        <v/>
      </c>
      <c r="AF95" s="103" t="str">
        <f t="shared" si="17"/>
        <v/>
      </c>
      <c r="AG95" s="104" t="str">
        <f t="shared" si="18"/>
        <v/>
      </c>
    </row>
    <row r="96" spans="1:33" x14ac:dyDescent="0.25">
      <c r="A96" s="4">
        <f t="shared" si="19"/>
        <v>93</v>
      </c>
      <c r="B96" s="30" t="str">
        <f t="shared" si="20"/>
        <v/>
      </c>
      <c r="C96" s="67" t="str">
        <f t="shared" si="14"/>
        <v/>
      </c>
      <c r="D96" s="105"/>
      <c r="E96" s="106"/>
      <c r="F96" s="106"/>
      <c r="G96" s="106"/>
      <c r="H96" s="107"/>
      <c r="I96" s="106"/>
      <c r="J96" s="106"/>
      <c r="K96" s="106"/>
      <c r="L96" s="106"/>
      <c r="M96" s="106"/>
      <c r="N96" s="108"/>
      <c r="O96" s="108" t="str">
        <f>IF(N96="","",IF('Event Dataset'!N96&lt;='Drop Downs and Assumptions'!$K$2,'Drop Downs and Assumptions'!$L$2,IF(AND('Event Dataset'!N96&gt;='Drop Downs and Assumptions'!$J$3,'Event Dataset'!N96&lt;='Drop Downs and Assumptions'!$K$3),'Drop Downs and Assumptions'!$L$3,IF(AND('Event Dataset'!N96&gt;='Drop Downs and Assumptions'!$J$4,'Event Dataset'!N96&lt;='Drop Downs and Assumptions'!$K$4),'Drop Downs and Assumptions'!$L$4,IF('Event Dataset'!N96&gt;='Drop Downs and Assumptions'!$J$5,'Drop Downs and Assumptions'!$L$5,"")))))</f>
        <v/>
      </c>
      <c r="P96" s="109"/>
      <c r="Q96" s="97"/>
      <c r="R96" s="110"/>
      <c r="S96" s="111"/>
      <c r="T96" s="111"/>
      <c r="U96" s="111"/>
      <c r="V96" s="111"/>
      <c r="W96" s="111"/>
      <c r="X96" s="111"/>
      <c r="Y96" s="111"/>
      <c r="Z96" s="111"/>
      <c r="AA96" s="111"/>
      <c r="AB96" s="111"/>
      <c r="AC96" s="112"/>
      <c r="AD96" s="113" t="str">
        <f t="shared" si="15"/>
        <v/>
      </c>
      <c r="AE96" s="114" t="str">
        <f t="shared" si="16"/>
        <v/>
      </c>
      <c r="AF96" s="115" t="str">
        <f t="shared" si="17"/>
        <v/>
      </c>
      <c r="AG96" s="116" t="str">
        <f t="shared" si="18"/>
        <v/>
      </c>
    </row>
    <row r="97" spans="1:33" x14ac:dyDescent="0.25">
      <c r="A97" s="16">
        <f t="shared" si="19"/>
        <v>94</v>
      </c>
      <c r="B97" s="31" t="str">
        <f t="shared" si="20"/>
        <v/>
      </c>
      <c r="C97" s="66" t="str">
        <f t="shared" si="14"/>
        <v/>
      </c>
      <c r="D97" s="92"/>
      <c r="E97" s="93"/>
      <c r="F97" s="93"/>
      <c r="G97" s="93"/>
      <c r="H97" s="94"/>
      <c r="I97" s="93"/>
      <c r="J97" s="93"/>
      <c r="K97" s="93"/>
      <c r="L97" s="93"/>
      <c r="M97" s="93"/>
      <c r="N97" s="95"/>
      <c r="O97" s="95" t="str">
        <f>IF(N97="","",IF('Event Dataset'!N97&lt;='Drop Downs and Assumptions'!$K$2,'Drop Downs and Assumptions'!$L$2,IF(AND('Event Dataset'!N97&gt;='Drop Downs and Assumptions'!$J$3,'Event Dataset'!N97&lt;='Drop Downs and Assumptions'!$K$3),'Drop Downs and Assumptions'!$L$3,IF(AND('Event Dataset'!N97&gt;='Drop Downs and Assumptions'!$J$4,'Event Dataset'!N97&lt;='Drop Downs and Assumptions'!$K$4),'Drop Downs and Assumptions'!$L$4,IF('Event Dataset'!N97&gt;='Drop Downs and Assumptions'!$J$5,'Drop Downs and Assumptions'!$L$5,"")))))</f>
        <v/>
      </c>
      <c r="P97" s="96"/>
      <c r="Q97" s="97"/>
      <c r="R97" s="98"/>
      <c r="S97" s="99"/>
      <c r="T97" s="99"/>
      <c r="U97" s="99"/>
      <c r="V97" s="99"/>
      <c r="W97" s="99"/>
      <c r="X97" s="99"/>
      <c r="Y97" s="99"/>
      <c r="Z97" s="99"/>
      <c r="AA97" s="99"/>
      <c r="AB97" s="99"/>
      <c r="AC97" s="100"/>
      <c r="AD97" s="101" t="str">
        <f t="shared" si="15"/>
        <v/>
      </c>
      <c r="AE97" s="102" t="str">
        <f t="shared" si="16"/>
        <v/>
      </c>
      <c r="AF97" s="103" t="str">
        <f t="shared" si="17"/>
        <v/>
      </c>
      <c r="AG97" s="104" t="str">
        <f t="shared" si="18"/>
        <v/>
      </c>
    </row>
    <row r="98" spans="1:33" x14ac:dyDescent="0.25">
      <c r="A98" s="4">
        <f t="shared" si="19"/>
        <v>95</v>
      </c>
      <c r="B98" s="30" t="str">
        <f t="shared" si="20"/>
        <v/>
      </c>
      <c r="C98" s="67" t="str">
        <f t="shared" si="14"/>
        <v/>
      </c>
      <c r="D98" s="105"/>
      <c r="E98" s="106"/>
      <c r="F98" s="106"/>
      <c r="G98" s="106"/>
      <c r="H98" s="107"/>
      <c r="I98" s="106"/>
      <c r="J98" s="106"/>
      <c r="K98" s="106"/>
      <c r="L98" s="106"/>
      <c r="M98" s="106"/>
      <c r="N98" s="108"/>
      <c r="O98" s="108" t="str">
        <f>IF(N98="","",IF('Event Dataset'!N98&lt;='Drop Downs and Assumptions'!$K$2,'Drop Downs and Assumptions'!$L$2,IF(AND('Event Dataset'!N98&gt;='Drop Downs and Assumptions'!$J$3,'Event Dataset'!N98&lt;='Drop Downs and Assumptions'!$K$3),'Drop Downs and Assumptions'!$L$3,IF(AND('Event Dataset'!N98&gt;='Drop Downs and Assumptions'!$J$4,'Event Dataset'!N98&lt;='Drop Downs and Assumptions'!$K$4),'Drop Downs and Assumptions'!$L$4,IF('Event Dataset'!N98&gt;='Drop Downs and Assumptions'!$J$5,'Drop Downs and Assumptions'!$L$5,"")))))</f>
        <v/>
      </c>
      <c r="P98" s="109"/>
      <c r="Q98" s="97"/>
      <c r="R98" s="110"/>
      <c r="S98" s="111"/>
      <c r="T98" s="111"/>
      <c r="U98" s="111"/>
      <c r="V98" s="111"/>
      <c r="W98" s="111"/>
      <c r="X98" s="111"/>
      <c r="Y98" s="111"/>
      <c r="Z98" s="111"/>
      <c r="AA98" s="111"/>
      <c r="AB98" s="111"/>
      <c r="AC98" s="112"/>
      <c r="AD98" s="113" t="str">
        <f t="shared" si="15"/>
        <v/>
      </c>
      <c r="AE98" s="114" t="str">
        <f t="shared" si="16"/>
        <v/>
      </c>
      <c r="AF98" s="115" t="str">
        <f t="shared" si="17"/>
        <v/>
      </c>
      <c r="AG98" s="116" t="str">
        <f t="shared" si="18"/>
        <v/>
      </c>
    </row>
    <row r="99" spans="1:33" x14ac:dyDescent="0.25">
      <c r="A99" s="16">
        <f t="shared" si="19"/>
        <v>96</v>
      </c>
      <c r="B99" s="31" t="str">
        <f t="shared" si="20"/>
        <v/>
      </c>
      <c r="C99" s="66" t="str">
        <f t="shared" si="14"/>
        <v/>
      </c>
      <c r="D99" s="92"/>
      <c r="E99" s="93"/>
      <c r="F99" s="93"/>
      <c r="G99" s="93"/>
      <c r="H99" s="94"/>
      <c r="I99" s="93"/>
      <c r="J99" s="93"/>
      <c r="K99" s="93"/>
      <c r="L99" s="93"/>
      <c r="M99" s="93"/>
      <c r="N99" s="95"/>
      <c r="O99" s="95" t="str">
        <f>IF(N99="","",IF('Event Dataset'!N99&lt;='Drop Downs and Assumptions'!$K$2,'Drop Downs and Assumptions'!$L$2,IF(AND('Event Dataset'!N99&gt;='Drop Downs and Assumptions'!$J$3,'Event Dataset'!N99&lt;='Drop Downs and Assumptions'!$K$3),'Drop Downs and Assumptions'!$L$3,IF(AND('Event Dataset'!N99&gt;='Drop Downs and Assumptions'!$J$4,'Event Dataset'!N99&lt;='Drop Downs and Assumptions'!$K$4),'Drop Downs and Assumptions'!$L$4,IF('Event Dataset'!N99&gt;='Drop Downs and Assumptions'!$J$5,'Drop Downs and Assumptions'!$L$5,"")))))</f>
        <v/>
      </c>
      <c r="P99" s="96"/>
      <c r="Q99" s="97"/>
      <c r="R99" s="98"/>
      <c r="S99" s="99"/>
      <c r="T99" s="99"/>
      <c r="U99" s="99"/>
      <c r="V99" s="99"/>
      <c r="W99" s="99"/>
      <c r="X99" s="99"/>
      <c r="Y99" s="99"/>
      <c r="Z99" s="99"/>
      <c r="AA99" s="99"/>
      <c r="AB99" s="99"/>
      <c r="AC99" s="100"/>
      <c r="AD99" s="101" t="str">
        <f t="shared" si="15"/>
        <v/>
      </c>
      <c r="AE99" s="102" t="str">
        <f t="shared" si="16"/>
        <v/>
      </c>
      <c r="AF99" s="103" t="str">
        <f t="shared" si="17"/>
        <v/>
      </c>
      <c r="AG99" s="104" t="str">
        <f t="shared" si="18"/>
        <v/>
      </c>
    </row>
    <row r="100" spans="1:33" x14ac:dyDescent="0.25">
      <c r="A100" s="4">
        <f t="shared" si="19"/>
        <v>97</v>
      </c>
      <c r="B100" s="30" t="str">
        <f t="shared" si="20"/>
        <v/>
      </c>
      <c r="C100" s="67" t="str">
        <f t="shared" si="14"/>
        <v/>
      </c>
      <c r="D100" s="105"/>
      <c r="E100" s="106"/>
      <c r="F100" s="106"/>
      <c r="G100" s="106"/>
      <c r="H100" s="107"/>
      <c r="I100" s="106"/>
      <c r="J100" s="106"/>
      <c r="K100" s="106"/>
      <c r="L100" s="106"/>
      <c r="M100" s="106"/>
      <c r="N100" s="108"/>
      <c r="O100" s="108" t="str">
        <f>IF(N100="","",IF('Event Dataset'!N100&lt;='Drop Downs and Assumptions'!$K$2,'Drop Downs and Assumptions'!$L$2,IF(AND('Event Dataset'!N100&gt;='Drop Downs and Assumptions'!$J$3,'Event Dataset'!N100&lt;='Drop Downs and Assumptions'!$K$3),'Drop Downs and Assumptions'!$L$3,IF(AND('Event Dataset'!N100&gt;='Drop Downs and Assumptions'!$J$4,'Event Dataset'!N100&lt;='Drop Downs and Assumptions'!$K$4),'Drop Downs and Assumptions'!$L$4,IF('Event Dataset'!N100&gt;='Drop Downs and Assumptions'!$J$5,'Drop Downs and Assumptions'!$L$5,"")))))</f>
        <v/>
      </c>
      <c r="P100" s="109"/>
      <c r="Q100" s="97"/>
      <c r="R100" s="110"/>
      <c r="S100" s="111"/>
      <c r="T100" s="111"/>
      <c r="U100" s="111"/>
      <c r="V100" s="111"/>
      <c r="W100" s="111"/>
      <c r="X100" s="111"/>
      <c r="Y100" s="111"/>
      <c r="Z100" s="111"/>
      <c r="AA100" s="111"/>
      <c r="AB100" s="111"/>
      <c r="AC100" s="112"/>
      <c r="AD100" s="113" t="str">
        <f t="shared" si="15"/>
        <v/>
      </c>
      <c r="AE100" s="114" t="str">
        <f t="shared" si="16"/>
        <v/>
      </c>
      <c r="AF100" s="115" t="str">
        <f t="shared" si="17"/>
        <v/>
      </c>
      <c r="AG100" s="116" t="str">
        <f t="shared" si="18"/>
        <v/>
      </c>
    </row>
    <row r="101" spans="1:33" x14ac:dyDescent="0.25">
      <c r="A101" s="16">
        <f t="shared" si="19"/>
        <v>98</v>
      </c>
      <c r="B101" s="31" t="str">
        <f t="shared" si="20"/>
        <v/>
      </c>
      <c r="C101" s="66" t="str">
        <f t="shared" si="14"/>
        <v/>
      </c>
      <c r="D101" s="92"/>
      <c r="E101" s="93"/>
      <c r="F101" s="93"/>
      <c r="G101" s="93"/>
      <c r="H101" s="94"/>
      <c r="I101" s="93"/>
      <c r="J101" s="93"/>
      <c r="K101" s="93"/>
      <c r="L101" s="93"/>
      <c r="M101" s="93"/>
      <c r="N101" s="95"/>
      <c r="O101" s="95" t="str">
        <f>IF(N101="","",IF('Event Dataset'!N101&lt;='Drop Downs and Assumptions'!$K$2,'Drop Downs and Assumptions'!$L$2,IF(AND('Event Dataset'!N101&gt;='Drop Downs and Assumptions'!$J$3,'Event Dataset'!N101&lt;='Drop Downs and Assumptions'!$K$3),'Drop Downs and Assumptions'!$L$3,IF(AND('Event Dataset'!N101&gt;='Drop Downs and Assumptions'!$J$4,'Event Dataset'!N101&lt;='Drop Downs and Assumptions'!$K$4),'Drop Downs and Assumptions'!$L$4,IF('Event Dataset'!N101&gt;='Drop Downs and Assumptions'!$J$5,'Drop Downs and Assumptions'!$L$5,"")))))</f>
        <v/>
      </c>
      <c r="P101" s="96"/>
      <c r="Q101" s="97"/>
      <c r="R101" s="98"/>
      <c r="S101" s="99"/>
      <c r="T101" s="99"/>
      <c r="U101" s="99"/>
      <c r="V101" s="99"/>
      <c r="W101" s="99"/>
      <c r="X101" s="99"/>
      <c r="Y101" s="99"/>
      <c r="Z101" s="99"/>
      <c r="AA101" s="99"/>
      <c r="AB101" s="99"/>
      <c r="AC101" s="100"/>
      <c r="AD101" s="101" t="str">
        <f t="shared" si="15"/>
        <v/>
      </c>
      <c r="AE101" s="102" t="str">
        <f t="shared" si="16"/>
        <v/>
      </c>
      <c r="AF101" s="103" t="str">
        <f t="shared" si="17"/>
        <v/>
      </c>
      <c r="AG101" s="104" t="str">
        <f t="shared" si="18"/>
        <v/>
      </c>
    </row>
    <row r="102" spans="1:33" x14ac:dyDescent="0.25">
      <c r="A102" s="4">
        <f t="shared" si="19"/>
        <v>99</v>
      </c>
      <c r="B102" s="30" t="str">
        <f t="shared" si="20"/>
        <v/>
      </c>
      <c r="C102" s="67" t="str">
        <f t="shared" si="14"/>
        <v/>
      </c>
      <c r="D102" s="105"/>
      <c r="E102" s="106"/>
      <c r="F102" s="106"/>
      <c r="G102" s="106"/>
      <c r="H102" s="107"/>
      <c r="I102" s="106"/>
      <c r="J102" s="106"/>
      <c r="K102" s="106"/>
      <c r="L102" s="106"/>
      <c r="M102" s="106"/>
      <c r="N102" s="108"/>
      <c r="O102" s="108" t="str">
        <f>IF(N102="","",IF('Event Dataset'!N102&lt;='Drop Downs and Assumptions'!$K$2,'Drop Downs and Assumptions'!$L$2,IF(AND('Event Dataset'!N102&gt;='Drop Downs and Assumptions'!$J$3,'Event Dataset'!N102&lt;='Drop Downs and Assumptions'!$K$3),'Drop Downs and Assumptions'!$L$3,IF(AND('Event Dataset'!N102&gt;='Drop Downs and Assumptions'!$J$4,'Event Dataset'!N102&lt;='Drop Downs and Assumptions'!$K$4),'Drop Downs and Assumptions'!$L$4,IF('Event Dataset'!N102&gt;='Drop Downs and Assumptions'!$J$5,'Drop Downs and Assumptions'!$L$5,"")))))</f>
        <v/>
      </c>
      <c r="P102" s="109"/>
      <c r="Q102" s="97"/>
      <c r="R102" s="110"/>
      <c r="S102" s="111"/>
      <c r="T102" s="111"/>
      <c r="U102" s="111"/>
      <c r="V102" s="111"/>
      <c r="W102" s="111"/>
      <c r="X102" s="111"/>
      <c r="Y102" s="111"/>
      <c r="Z102" s="111"/>
      <c r="AA102" s="111"/>
      <c r="AB102" s="111"/>
      <c r="AC102" s="112"/>
      <c r="AD102" s="113" t="str">
        <f t="shared" si="15"/>
        <v/>
      </c>
      <c r="AE102" s="114" t="str">
        <f t="shared" si="16"/>
        <v/>
      </c>
      <c r="AF102" s="115" t="str">
        <f t="shared" si="17"/>
        <v/>
      </c>
      <c r="AG102" s="116" t="str">
        <f t="shared" si="18"/>
        <v/>
      </c>
    </row>
    <row r="103" spans="1:33" x14ac:dyDescent="0.25">
      <c r="A103" s="16">
        <f t="shared" si="19"/>
        <v>100</v>
      </c>
      <c r="B103" s="31" t="str">
        <f t="shared" si="20"/>
        <v/>
      </c>
      <c r="C103" s="66" t="str">
        <f t="shared" si="14"/>
        <v/>
      </c>
      <c r="D103" s="92"/>
      <c r="E103" s="93"/>
      <c r="F103" s="93"/>
      <c r="G103" s="93"/>
      <c r="H103" s="94"/>
      <c r="I103" s="93"/>
      <c r="J103" s="93"/>
      <c r="K103" s="93"/>
      <c r="L103" s="93"/>
      <c r="M103" s="93"/>
      <c r="N103" s="95"/>
      <c r="O103" s="95" t="str">
        <f>IF(N103="","",IF('Event Dataset'!N103&lt;='Drop Downs and Assumptions'!$K$2,'Drop Downs and Assumptions'!$L$2,IF(AND('Event Dataset'!N103&gt;='Drop Downs and Assumptions'!$J$3,'Event Dataset'!N103&lt;='Drop Downs and Assumptions'!$K$3),'Drop Downs and Assumptions'!$L$3,IF(AND('Event Dataset'!N103&gt;='Drop Downs and Assumptions'!$J$4,'Event Dataset'!N103&lt;='Drop Downs and Assumptions'!$K$4),'Drop Downs and Assumptions'!$L$4,IF('Event Dataset'!N103&gt;='Drop Downs and Assumptions'!$J$5,'Drop Downs and Assumptions'!$L$5,"")))))</f>
        <v/>
      </c>
      <c r="P103" s="96"/>
      <c r="Q103" s="97"/>
      <c r="R103" s="98"/>
      <c r="S103" s="99"/>
      <c r="T103" s="99"/>
      <c r="U103" s="99"/>
      <c r="V103" s="99"/>
      <c r="W103" s="99"/>
      <c r="X103" s="99"/>
      <c r="Y103" s="99"/>
      <c r="Z103" s="99"/>
      <c r="AA103" s="99"/>
      <c r="AB103" s="99"/>
      <c r="AC103" s="100"/>
      <c r="AD103" s="101" t="str">
        <f t="shared" si="15"/>
        <v/>
      </c>
      <c r="AE103" s="102" t="str">
        <f t="shared" si="16"/>
        <v/>
      </c>
      <c r="AF103" s="103" t="str">
        <f t="shared" si="17"/>
        <v/>
      </c>
      <c r="AG103" s="104" t="str">
        <f t="shared" si="18"/>
        <v/>
      </c>
    </row>
    <row r="104" spans="1:33" x14ac:dyDescent="0.25">
      <c r="A104" s="4">
        <f t="shared" si="19"/>
        <v>101</v>
      </c>
      <c r="B104" s="30" t="str">
        <f t="shared" si="20"/>
        <v/>
      </c>
      <c r="C104" s="67" t="str">
        <f t="shared" si="14"/>
        <v/>
      </c>
      <c r="D104" s="105"/>
      <c r="E104" s="106"/>
      <c r="F104" s="106"/>
      <c r="G104" s="106"/>
      <c r="H104" s="107"/>
      <c r="I104" s="106"/>
      <c r="J104" s="106"/>
      <c r="K104" s="106"/>
      <c r="L104" s="106"/>
      <c r="M104" s="106"/>
      <c r="N104" s="108"/>
      <c r="O104" s="108" t="str">
        <f>IF(N104="","",IF('Event Dataset'!N104&lt;='Drop Downs and Assumptions'!$K$2,'Drop Downs and Assumptions'!$L$2,IF(AND('Event Dataset'!N104&gt;='Drop Downs and Assumptions'!$J$3,'Event Dataset'!N104&lt;='Drop Downs and Assumptions'!$K$3),'Drop Downs and Assumptions'!$L$3,IF(AND('Event Dataset'!N104&gt;='Drop Downs and Assumptions'!$J$4,'Event Dataset'!N104&lt;='Drop Downs and Assumptions'!$K$4),'Drop Downs and Assumptions'!$L$4,IF('Event Dataset'!N104&gt;='Drop Downs and Assumptions'!$J$5,'Drop Downs and Assumptions'!$L$5,"")))))</f>
        <v/>
      </c>
      <c r="P104" s="109"/>
      <c r="Q104" s="97"/>
      <c r="R104" s="110"/>
      <c r="S104" s="111"/>
      <c r="T104" s="111"/>
      <c r="U104" s="111"/>
      <c r="V104" s="111"/>
      <c r="W104" s="111"/>
      <c r="X104" s="111"/>
      <c r="Y104" s="111"/>
      <c r="Z104" s="111"/>
      <c r="AA104" s="111"/>
      <c r="AB104" s="111"/>
      <c r="AC104" s="112"/>
      <c r="AD104" s="113" t="str">
        <f t="shared" si="15"/>
        <v/>
      </c>
      <c r="AE104" s="114" t="str">
        <f t="shared" si="16"/>
        <v/>
      </c>
      <c r="AF104" s="115" t="str">
        <f t="shared" si="17"/>
        <v/>
      </c>
      <c r="AG104" s="116" t="str">
        <f t="shared" si="18"/>
        <v/>
      </c>
    </row>
    <row r="105" spans="1:33" x14ac:dyDescent="0.25">
      <c r="A105" s="16">
        <f t="shared" si="19"/>
        <v>102</v>
      </c>
      <c r="B105" s="31" t="str">
        <f t="shared" si="20"/>
        <v/>
      </c>
      <c r="C105" s="66" t="str">
        <f t="shared" si="14"/>
        <v/>
      </c>
      <c r="D105" s="92"/>
      <c r="E105" s="93"/>
      <c r="F105" s="93"/>
      <c r="G105" s="93"/>
      <c r="H105" s="94"/>
      <c r="I105" s="93"/>
      <c r="J105" s="93"/>
      <c r="K105" s="93"/>
      <c r="L105" s="93"/>
      <c r="M105" s="93"/>
      <c r="N105" s="95"/>
      <c r="O105" s="95" t="str">
        <f>IF(N105="","",IF('Event Dataset'!N105&lt;='Drop Downs and Assumptions'!$K$2,'Drop Downs and Assumptions'!$L$2,IF(AND('Event Dataset'!N105&gt;='Drop Downs and Assumptions'!$J$3,'Event Dataset'!N105&lt;='Drop Downs and Assumptions'!$K$3),'Drop Downs and Assumptions'!$L$3,IF(AND('Event Dataset'!N105&gt;='Drop Downs and Assumptions'!$J$4,'Event Dataset'!N105&lt;='Drop Downs and Assumptions'!$K$4),'Drop Downs and Assumptions'!$L$4,IF('Event Dataset'!N105&gt;='Drop Downs and Assumptions'!$J$5,'Drop Downs and Assumptions'!$L$5,"")))))</f>
        <v/>
      </c>
      <c r="P105" s="96"/>
      <c r="Q105" s="97"/>
      <c r="R105" s="98"/>
      <c r="S105" s="99"/>
      <c r="T105" s="99"/>
      <c r="U105" s="99"/>
      <c r="V105" s="99"/>
      <c r="W105" s="99"/>
      <c r="X105" s="99"/>
      <c r="Y105" s="99"/>
      <c r="Z105" s="99"/>
      <c r="AA105" s="99"/>
      <c r="AB105" s="99"/>
      <c r="AC105" s="100"/>
      <c r="AD105" s="101" t="str">
        <f t="shared" si="15"/>
        <v/>
      </c>
      <c r="AE105" s="102" t="str">
        <f t="shared" si="16"/>
        <v/>
      </c>
      <c r="AF105" s="103" t="str">
        <f t="shared" si="17"/>
        <v/>
      </c>
      <c r="AG105" s="104" t="str">
        <f t="shared" si="18"/>
        <v/>
      </c>
    </row>
    <row r="106" spans="1:33" x14ac:dyDescent="0.25">
      <c r="A106" s="4">
        <f t="shared" si="19"/>
        <v>103</v>
      </c>
      <c r="B106" s="30" t="str">
        <f t="shared" si="20"/>
        <v/>
      </c>
      <c r="C106" s="67" t="str">
        <f t="shared" si="14"/>
        <v/>
      </c>
      <c r="D106" s="105"/>
      <c r="E106" s="106"/>
      <c r="F106" s="106"/>
      <c r="G106" s="106"/>
      <c r="H106" s="107"/>
      <c r="I106" s="106"/>
      <c r="J106" s="106"/>
      <c r="K106" s="106"/>
      <c r="L106" s="106"/>
      <c r="M106" s="106"/>
      <c r="N106" s="108"/>
      <c r="O106" s="108" t="str">
        <f>IF(N106="","",IF('Event Dataset'!N106&lt;='Drop Downs and Assumptions'!$K$2,'Drop Downs and Assumptions'!$L$2,IF(AND('Event Dataset'!N106&gt;='Drop Downs and Assumptions'!$J$3,'Event Dataset'!N106&lt;='Drop Downs and Assumptions'!$K$3),'Drop Downs and Assumptions'!$L$3,IF(AND('Event Dataset'!N106&gt;='Drop Downs and Assumptions'!$J$4,'Event Dataset'!N106&lt;='Drop Downs and Assumptions'!$K$4),'Drop Downs and Assumptions'!$L$4,IF('Event Dataset'!N106&gt;='Drop Downs and Assumptions'!$J$5,'Drop Downs and Assumptions'!$L$5,"")))))</f>
        <v/>
      </c>
      <c r="P106" s="109"/>
      <c r="Q106" s="97"/>
      <c r="R106" s="110"/>
      <c r="S106" s="111"/>
      <c r="T106" s="111"/>
      <c r="U106" s="111"/>
      <c r="V106" s="111"/>
      <c r="W106" s="111"/>
      <c r="X106" s="111"/>
      <c r="Y106" s="111"/>
      <c r="Z106" s="111"/>
      <c r="AA106" s="111"/>
      <c r="AB106" s="111"/>
      <c r="AC106" s="112"/>
      <c r="AD106" s="113" t="str">
        <f t="shared" si="15"/>
        <v/>
      </c>
      <c r="AE106" s="114" t="str">
        <f t="shared" si="16"/>
        <v/>
      </c>
      <c r="AF106" s="115" t="str">
        <f t="shared" si="17"/>
        <v/>
      </c>
      <c r="AG106" s="116" t="str">
        <f t="shared" si="18"/>
        <v/>
      </c>
    </row>
    <row r="107" spans="1:33" x14ac:dyDescent="0.25">
      <c r="A107" s="16">
        <f t="shared" si="19"/>
        <v>104</v>
      </c>
      <c r="B107" s="31" t="str">
        <f t="shared" si="20"/>
        <v/>
      </c>
      <c r="C107" s="66" t="str">
        <f t="shared" si="14"/>
        <v/>
      </c>
      <c r="D107" s="92"/>
      <c r="E107" s="93"/>
      <c r="F107" s="93"/>
      <c r="G107" s="93"/>
      <c r="H107" s="94"/>
      <c r="I107" s="93"/>
      <c r="J107" s="93"/>
      <c r="K107" s="93"/>
      <c r="L107" s="93"/>
      <c r="M107" s="93"/>
      <c r="N107" s="95"/>
      <c r="O107" s="95" t="str">
        <f>IF(N107="","",IF('Event Dataset'!N107&lt;='Drop Downs and Assumptions'!$K$2,'Drop Downs and Assumptions'!$L$2,IF(AND('Event Dataset'!N107&gt;='Drop Downs and Assumptions'!$J$3,'Event Dataset'!N107&lt;='Drop Downs and Assumptions'!$K$3),'Drop Downs and Assumptions'!$L$3,IF(AND('Event Dataset'!N107&gt;='Drop Downs and Assumptions'!$J$4,'Event Dataset'!N107&lt;='Drop Downs and Assumptions'!$K$4),'Drop Downs and Assumptions'!$L$4,IF('Event Dataset'!N107&gt;='Drop Downs and Assumptions'!$J$5,'Drop Downs and Assumptions'!$L$5,"")))))</f>
        <v/>
      </c>
      <c r="P107" s="96"/>
      <c r="Q107" s="97"/>
      <c r="R107" s="98"/>
      <c r="S107" s="99"/>
      <c r="T107" s="99"/>
      <c r="U107" s="99"/>
      <c r="V107" s="99"/>
      <c r="W107" s="99"/>
      <c r="X107" s="99"/>
      <c r="Y107" s="99"/>
      <c r="Z107" s="99"/>
      <c r="AA107" s="99"/>
      <c r="AB107" s="99"/>
      <c r="AC107" s="100"/>
      <c r="AD107" s="101" t="str">
        <f t="shared" si="15"/>
        <v/>
      </c>
      <c r="AE107" s="102" t="str">
        <f t="shared" si="16"/>
        <v/>
      </c>
      <c r="AF107" s="103" t="str">
        <f t="shared" si="17"/>
        <v/>
      </c>
      <c r="AG107" s="104" t="str">
        <f t="shared" si="18"/>
        <v/>
      </c>
    </row>
    <row r="108" spans="1:33" x14ac:dyDescent="0.25">
      <c r="A108" s="4">
        <f t="shared" si="19"/>
        <v>105</v>
      </c>
      <c r="B108" s="30" t="str">
        <f t="shared" si="20"/>
        <v/>
      </c>
      <c r="C108" s="67" t="str">
        <f t="shared" si="14"/>
        <v/>
      </c>
      <c r="D108" s="105"/>
      <c r="E108" s="106"/>
      <c r="F108" s="106"/>
      <c r="G108" s="106"/>
      <c r="H108" s="107"/>
      <c r="I108" s="106"/>
      <c r="J108" s="106"/>
      <c r="K108" s="106"/>
      <c r="L108" s="106"/>
      <c r="M108" s="106"/>
      <c r="N108" s="108"/>
      <c r="O108" s="108" t="str">
        <f>IF(N108="","",IF('Event Dataset'!N108&lt;='Drop Downs and Assumptions'!$K$2,'Drop Downs and Assumptions'!$L$2,IF(AND('Event Dataset'!N108&gt;='Drop Downs and Assumptions'!$J$3,'Event Dataset'!N108&lt;='Drop Downs and Assumptions'!$K$3),'Drop Downs and Assumptions'!$L$3,IF(AND('Event Dataset'!N108&gt;='Drop Downs and Assumptions'!$J$4,'Event Dataset'!N108&lt;='Drop Downs and Assumptions'!$K$4),'Drop Downs and Assumptions'!$L$4,IF('Event Dataset'!N108&gt;='Drop Downs and Assumptions'!$J$5,'Drop Downs and Assumptions'!$L$5,"")))))</f>
        <v/>
      </c>
      <c r="P108" s="109"/>
      <c r="Q108" s="97"/>
      <c r="R108" s="110"/>
      <c r="S108" s="111"/>
      <c r="T108" s="111"/>
      <c r="U108" s="111"/>
      <c r="V108" s="111"/>
      <c r="W108" s="111"/>
      <c r="X108" s="111"/>
      <c r="Y108" s="111"/>
      <c r="Z108" s="111"/>
      <c r="AA108" s="111"/>
      <c r="AB108" s="111"/>
      <c r="AC108" s="112"/>
      <c r="AD108" s="113" t="str">
        <f t="shared" si="15"/>
        <v/>
      </c>
      <c r="AE108" s="114" t="str">
        <f t="shared" si="16"/>
        <v/>
      </c>
      <c r="AF108" s="115" t="str">
        <f t="shared" si="17"/>
        <v/>
      </c>
      <c r="AG108" s="116" t="str">
        <f t="shared" si="18"/>
        <v/>
      </c>
    </row>
    <row r="109" spans="1:33" x14ac:dyDescent="0.25">
      <c r="A109" s="16">
        <f t="shared" si="19"/>
        <v>106</v>
      </c>
      <c r="B109" s="31" t="str">
        <f t="shared" si="20"/>
        <v/>
      </c>
      <c r="C109" s="66" t="str">
        <f t="shared" si="14"/>
        <v/>
      </c>
      <c r="D109" s="92"/>
      <c r="E109" s="93"/>
      <c r="F109" s="93"/>
      <c r="G109" s="93"/>
      <c r="H109" s="94"/>
      <c r="I109" s="93"/>
      <c r="J109" s="93"/>
      <c r="K109" s="93"/>
      <c r="L109" s="93"/>
      <c r="M109" s="93"/>
      <c r="N109" s="95"/>
      <c r="O109" s="95" t="str">
        <f>IF(N109="","",IF('Event Dataset'!N109&lt;='Drop Downs and Assumptions'!$K$2,'Drop Downs and Assumptions'!$L$2,IF(AND('Event Dataset'!N109&gt;='Drop Downs and Assumptions'!$J$3,'Event Dataset'!N109&lt;='Drop Downs and Assumptions'!$K$3),'Drop Downs and Assumptions'!$L$3,IF(AND('Event Dataset'!N109&gt;='Drop Downs and Assumptions'!$J$4,'Event Dataset'!N109&lt;='Drop Downs and Assumptions'!$K$4),'Drop Downs and Assumptions'!$L$4,IF('Event Dataset'!N109&gt;='Drop Downs and Assumptions'!$J$5,'Drop Downs and Assumptions'!$L$5,"")))))</f>
        <v/>
      </c>
      <c r="P109" s="96"/>
      <c r="Q109" s="97"/>
      <c r="R109" s="98"/>
      <c r="S109" s="99"/>
      <c r="T109" s="99"/>
      <c r="U109" s="99"/>
      <c r="V109" s="99"/>
      <c r="W109" s="99"/>
      <c r="X109" s="99"/>
      <c r="Y109" s="99"/>
      <c r="Z109" s="99"/>
      <c r="AA109" s="99"/>
      <c r="AB109" s="99"/>
      <c r="AC109" s="100"/>
      <c r="AD109" s="101" t="str">
        <f t="shared" si="15"/>
        <v/>
      </c>
      <c r="AE109" s="102" t="str">
        <f t="shared" si="16"/>
        <v/>
      </c>
      <c r="AF109" s="103" t="str">
        <f t="shared" si="17"/>
        <v/>
      </c>
      <c r="AG109" s="104" t="str">
        <f t="shared" si="18"/>
        <v/>
      </c>
    </row>
    <row r="110" spans="1:33" x14ac:dyDescent="0.25">
      <c r="A110" s="4">
        <f t="shared" si="19"/>
        <v>107</v>
      </c>
      <c r="B110" s="30" t="str">
        <f t="shared" si="20"/>
        <v/>
      </c>
      <c r="C110" s="67" t="str">
        <f t="shared" si="14"/>
        <v/>
      </c>
      <c r="D110" s="105"/>
      <c r="E110" s="106"/>
      <c r="F110" s="106"/>
      <c r="G110" s="106"/>
      <c r="H110" s="107"/>
      <c r="I110" s="106"/>
      <c r="J110" s="106"/>
      <c r="K110" s="106"/>
      <c r="L110" s="106"/>
      <c r="M110" s="106"/>
      <c r="N110" s="108"/>
      <c r="O110" s="108" t="str">
        <f>IF(N110="","",IF('Event Dataset'!N110&lt;='Drop Downs and Assumptions'!$K$2,'Drop Downs and Assumptions'!$L$2,IF(AND('Event Dataset'!N110&gt;='Drop Downs and Assumptions'!$J$3,'Event Dataset'!N110&lt;='Drop Downs and Assumptions'!$K$3),'Drop Downs and Assumptions'!$L$3,IF(AND('Event Dataset'!N110&gt;='Drop Downs and Assumptions'!$J$4,'Event Dataset'!N110&lt;='Drop Downs and Assumptions'!$K$4),'Drop Downs and Assumptions'!$L$4,IF('Event Dataset'!N110&gt;='Drop Downs and Assumptions'!$J$5,'Drop Downs and Assumptions'!$L$5,"")))))</f>
        <v/>
      </c>
      <c r="P110" s="109"/>
      <c r="Q110" s="97"/>
      <c r="R110" s="110"/>
      <c r="S110" s="111"/>
      <c r="T110" s="111"/>
      <c r="U110" s="111"/>
      <c r="V110" s="111"/>
      <c r="W110" s="111"/>
      <c r="X110" s="111"/>
      <c r="Y110" s="111"/>
      <c r="Z110" s="111"/>
      <c r="AA110" s="111"/>
      <c r="AB110" s="111"/>
      <c r="AC110" s="112"/>
      <c r="AD110" s="113" t="str">
        <f t="shared" si="15"/>
        <v/>
      </c>
      <c r="AE110" s="114" t="str">
        <f t="shared" si="16"/>
        <v/>
      </c>
      <c r="AF110" s="115" t="str">
        <f t="shared" si="17"/>
        <v/>
      </c>
      <c r="AG110" s="116" t="str">
        <f t="shared" si="18"/>
        <v/>
      </c>
    </row>
    <row r="111" spans="1:33" x14ac:dyDescent="0.25">
      <c r="A111" s="16">
        <f t="shared" si="19"/>
        <v>108</v>
      </c>
      <c r="B111" s="31" t="str">
        <f t="shared" si="20"/>
        <v/>
      </c>
      <c r="C111" s="66" t="str">
        <f t="shared" si="14"/>
        <v/>
      </c>
      <c r="D111" s="92"/>
      <c r="E111" s="93"/>
      <c r="F111" s="93"/>
      <c r="G111" s="93"/>
      <c r="H111" s="94"/>
      <c r="I111" s="93"/>
      <c r="J111" s="93"/>
      <c r="K111" s="93"/>
      <c r="L111" s="93"/>
      <c r="M111" s="93"/>
      <c r="N111" s="95"/>
      <c r="O111" s="95" t="str">
        <f>IF(N111="","",IF('Event Dataset'!N111&lt;='Drop Downs and Assumptions'!$K$2,'Drop Downs and Assumptions'!$L$2,IF(AND('Event Dataset'!N111&gt;='Drop Downs and Assumptions'!$J$3,'Event Dataset'!N111&lt;='Drop Downs and Assumptions'!$K$3),'Drop Downs and Assumptions'!$L$3,IF(AND('Event Dataset'!N111&gt;='Drop Downs and Assumptions'!$J$4,'Event Dataset'!N111&lt;='Drop Downs and Assumptions'!$K$4),'Drop Downs and Assumptions'!$L$4,IF('Event Dataset'!N111&gt;='Drop Downs and Assumptions'!$J$5,'Drop Downs and Assumptions'!$L$5,"")))))</f>
        <v/>
      </c>
      <c r="P111" s="96"/>
      <c r="Q111" s="97"/>
      <c r="R111" s="98"/>
      <c r="S111" s="99"/>
      <c r="T111" s="99"/>
      <c r="U111" s="99"/>
      <c r="V111" s="99"/>
      <c r="W111" s="99"/>
      <c r="X111" s="99"/>
      <c r="Y111" s="99"/>
      <c r="Z111" s="99"/>
      <c r="AA111" s="99"/>
      <c r="AB111" s="99"/>
      <c r="AC111" s="100"/>
      <c r="AD111" s="101" t="str">
        <f t="shared" si="15"/>
        <v/>
      </c>
      <c r="AE111" s="102" t="str">
        <f t="shared" si="16"/>
        <v/>
      </c>
      <c r="AF111" s="103" t="str">
        <f t="shared" si="17"/>
        <v/>
      </c>
      <c r="AG111" s="104" t="str">
        <f t="shared" si="18"/>
        <v/>
      </c>
    </row>
    <row r="112" spans="1:33" x14ac:dyDescent="0.25">
      <c r="A112" s="4">
        <f t="shared" si="19"/>
        <v>109</v>
      </c>
      <c r="B112" s="30" t="str">
        <f t="shared" si="20"/>
        <v/>
      </c>
      <c r="C112" s="67" t="str">
        <f t="shared" ref="C112:C175" si="21">IFERROR(RANK(AG112,$AG$4:$AG$470,1),"")</f>
        <v/>
      </c>
      <c r="D112" s="105"/>
      <c r="E112" s="106"/>
      <c r="F112" s="106"/>
      <c r="G112" s="106"/>
      <c r="H112" s="107"/>
      <c r="I112" s="106"/>
      <c r="J112" s="106"/>
      <c r="K112" s="106"/>
      <c r="L112" s="106"/>
      <c r="M112" s="106"/>
      <c r="N112" s="108"/>
      <c r="O112" s="108" t="str">
        <f>IF(N112="","",IF('Event Dataset'!N112&lt;='Drop Downs and Assumptions'!$K$2,'Drop Downs and Assumptions'!$L$2,IF(AND('Event Dataset'!N112&gt;='Drop Downs and Assumptions'!$J$3,'Event Dataset'!N112&lt;='Drop Downs and Assumptions'!$K$3),'Drop Downs and Assumptions'!$L$3,IF(AND('Event Dataset'!N112&gt;='Drop Downs and Assumptions'!$J$4,'Event Dataset'!N112&lt;='Drop Downs and Assumptions'!$K$4),'Drop Downs and Assumptions'!$L$4,IF('Event Dataset'!N112&gt;='Drop Downs and Assumptions'!$J$5,'Drop Downs and Assumptions'!$L$5,"")))))</f>
        <v/>
      </c>
      <c r="P112" s="109"/>
      <c r="Q112" s="97"/>
      <c r="R112" s="110"/>
      <c r="S112" s="111"/>
      <c r="T112" s="111"/>
      <c r="U112" s="111"/>
      <c r="V112" s="111"/>
      <c r="W112" s="111"/>
      <c r="X112" s="111"/>
      <c r="Y112" s="111"/>
      <c r="Z112" s="111"/>
      <c r="AA112" s="111"/>
      <c r="AB112" s="111"/>
      <c r="AC112" s="112"/>
      <c r="AD112" s="113" t="str">
        <f t="shared" ref="AD112:AD175" si="22">IF(SUM(R112:AC112)=0,"",SUM(R112:AC112))</f>
        <v/>
      </c>
      <c r="AE112" s="114" t="str">
        <f t="shared" ref="AE112:AE175" si="23">IFERROR((SUMIF($R$3:$AC$3,"Recycling",$R112:$AC112)+SUMIF($R$3:$AC$3,"Reuse",$R112:$AC112)+SUMIF($R$3:$AC$3,"Alternative Fuels",$R112:$AC112))/AD112,"")</f>
        <v/>
      </c>
      <c r="AF112" s="115" t="str">
        <f t="shared" ref="AF112:AF175" si="24">IFERROR((SUMIF($R$3:$AC$3,"Recycling",$R112:$AC112))/AD112,"")</f>
        <v/>
      </c>
      <c r="AG112" s="116" t="str">
        <f t="shared" si="18"/>
        <v/>
      </c>
    </row>
    <row r="113" spans="1:33" x14ac:dyDescent="0.25">
      <c r="A113" s="16">
        <f t="shared" si="19"/>
        <v>110</v>
      </c>
      <c r="B113" s="31" t="str">
        <f t="shared" si="20"/>
        <v/>
      </c>
      <c r="C113" s="66" t="str">
        <f t="shared" si="21"/>
        <v/>
      </c>
      <c r="D113" s="92"/>
      <c r="E113" s="93"/>
      <c r="F113" s="93"/>
      <c r="G113" s="93"/>
      <c r="H113" s="94"/>
      <c r="I113" s="93"/>
      <c r="J113" s="93"/>
      <c r="K113" s="93"/>
      <c r="L113" s="93"/>
      <c r="M113" s="93"/>
      <c r="N113" s="95"/>
      <c r="O113" s="95" t="str">
        <f>IF(N113="","",IF('Event Dataset'!N113&lt;='Drop Downs and Assumptions'!$K$2,'Drop Downs and Assumptions'!$L$2,IF(AND('Event Dataset'!N113&gt;='Drop Downs and Assumptions'!$J$3,'Event Dataset'!N113&lt;='Drop Downs and Assumptions'!$K$3),'Drop Downs and Assumptions'!$L$3,IF(AND('Event Dataset'!N113&gt;='Drop Downs and Assumptions'!$J$4,'Event Dataset'!N113&lt;='Drop Downs and Assumptions'!$K$4),'Drop Downs and Assumptions'!$L$4,IF('Event Dataset'!N113&gt;='Drop Downs and Assumptions'!$J$5,'Drop Downs and Assumptions'!$L$5,"")))))</f>
        <v/>
      </c>
      <c r="P113" s="96"/>
      <c r="Q113" s="97"/>
      <c r="R113" s="98"/>
      <c r="S113" s="99"/>
      <c r="T113" s="99"/>
      <c r="U113" s="99"/>
      <c r="V113" s="99"/>
      <c r="W113" s="99"/>
      <c r="X113" s="99"/>
      <c r="Y113" s="99"/>
      <c r="Z113" s="99"/>
      <c r="AA113" s="99"/>
      <c r="AB113" s="99"/>
      <c r="AC113" s="100"/>
      <c r="AD113" s="101" t="str">
        <f t="shared" si="22"/>
        <v/>
      </c>
      <c r="AE113" s="102" t="str">
        <f t="shared" si="23"/>
        <v/>
      </c>
      <c r="AF113" s="103" t="str">
        <f t="shared" si="24"/>
        <v/>
      </c>
      <c r="AG113" s="104" t="str">
        <f t="shared" si="18"/>
        <v/>
      </c>
    </row>
    <row r="114" spans="1:33" x14ac:dyDescent="0.25">
      <c r="A114" s="4">
        <f t="shared" si="19"/>
        <v>111</v>
      </c>
      <c r="B114" s="30" t="str">
        <f t="shared" si="20"/>
        <v/>
      </c>
      <c r="C114" s="67" t="str">
        <f t="shared" si="21"/>
        <v/>
      </c>
      <c r="D114" s="105"/>
      <c r="E114" s="106"/>
      <c r="F114" s="106"/>
      <c r="G114" s="106"/>
      <c r="H114" s="107"/>
      <c r="I114" s="106"/>
      <c r="J114" s="106"/>
      <c r="K114" s="106"/>
      <c r="L114" s="106"/>
      <c r="M114" s="106"/>
      <c r="N114" s="108"/>
      <c r="O114" s="108" t="str">
        <f>IF(N114="","",IF('Event Dataset'!N114&lt;='Drop Downs and Assumptions'!$K$2,'Drop Downs and Assumptions'!$L$2,IF(AND('Event Dataset'!N114&gt;='Drop Downs and Assumptions'!$J$3,'Event Dataset'!N114&lt;='Drop Downs and Assumptions'!$K$3),'Drop Downs and Assumptions'!$L$3,IF(AND('Event Dataset'!N114&gt;='Drop Downs and Assumptions'!$J$4,'Event Dataset'!N114&lt;='Drop Downs and Assumptions'!$K$4),'Drop Downs and Assumptions'!$L$4,IF('Event Dataset'!N114&gt;='Drop Downs and Assumptions'!$J$5,'Drop Downs and Assumptions'!$L$5,"")))))</f>
        <v/>
      </c>
      <c r="P114" s="109"/>
      <c r="Q114" s="97"/>
      <c r="R114" s="110"/>
      <c r="S114" s="111"/>
      <c r="T114" s="111"/>
      <c r="U114" s="111"/>
      <c r="V114" s="111"/>
      <c r="W114" s="111"/>
      <c r="X114" s="111"/>
      <c r="Y114" s="111"/>
      <c r="Z114" s="111"/>
      <c r="AA114" s="111"/>
      <c r="AB114" s="111"/>
      <c r="AC114" s="112"/>
      <c r="AD114" s="113" t="str">
        <f t="shared" si="22"/>
        <v/>
      </c>
      <c r="AE114" s="114" t="str">
        <f t="shared" si="23"/>
        <v/>
      </c>
      <c r="AF114" s="115" t="str">
        <f t="shared" si="24"/>
        <v/>
      </c>
      <c r="AG114" s="116" t="str">
        <f t="shared" si="18"/>
        <v/>
      </c>
    </row>
    <row r="115" spans="1:33" x14ac:dyDescent="0.25">
      <c r="A115" s="16">
        <f t="shared" si="19"/>
        <v>112</v>
      </c>
      <c r="B115" s="31" t="str">
        <f t="shared" si="20"/>
        <v/>
      </c>
      <c r="C115" s="66" t="str">
        <f t="shared" si="21"/>
        <v/>
      </c>
      <c r="D115" s="92"/>
      <c r="E115" s="93"/>
      <c r="F115" s="93"/>
      <c r="G115" s="93"/>
      <c r="H115" s="94"/>
      <c r="I115" s="93"/>
      <c r="J115" s="93"/>
      <c r="K115" s="93"/>
      <c r="L115" s="93"/>
      <c r="M115" s="93"/>
      <c r="N115" s="95"/>
      <c r="O115" s="95" t="str">
        <f>IF(N115="","",IF('Event Dataset'!N115&lt;='Drop Downs and Assumptions'!$K$2,'Drop Downs and Assumptions'!$L$2,IF(AND('Event Dataset'!N115&gt;='Drop Downs and Assumptions'!$J$3,'Event Dataset'!N115&lt;='Drop Downs and Assumptions'!$K$3),'Drop Downs and Assumptions'!$L$3,IF(AND('Event Dataset'!N115&gt;='Drop Downs and Assumptions'!$J$4,'Event Dataset'!N115&lt;='Drop Downs and Assumptions'!$K$4),'Drop Downs and Assumptions'!$L$4,IF('Event Dataset'!N115&gt;='Drop Downs and Assumptions'!$J$5,'Drop Downs and Assumptions'!$L$5,"")))))</f>
        <v/>
      </c>
      <c r="P115" s="96"/>
      <c r="Q115" s="97"/>
      <c r="R115" s="98"/>
      <c r="S115" s="99"/>
      <c r="T115" s="99"/>
      <c r="U115" s="99"/>
      <c r="V115" s="99"/>
      <c r="W115" s="99"/>
      <c r="X115" s="99"/>
      <c r="Y115" s="99"/>
      <c r="Z115" s="99"/>
      <c r="AA115" s="99"/>
      <c r="AB115" s="99"/>
      <c r="AC115" s="100"/>
      <c r="AD115" s="101" t="str">
        <f t="shared" si="22"/>
        <v/>
      </c>
      <c r="AE115" s="102" t="str">
        <f t="shared" si="23"/>
        <v/>
      </c>
      <c r="AF115" s="103" t="str">
        <f t="shared" si="24"/>
        <v/>
      </c>
      <c r="AG115" s="104" t="str">
        <f t="shared" si="18"/>
        <v/>
      </c>
    </row>
    <row r="116" spans="1:33" x14ac:dyDescent="0.25">
      <c r="A116" s="4">
        <f t="shared" si="19"/>
        <v>113</v>
      </c>
      <c r="B116" s="30" t="str">
        <f t="shared" si="20"/>
        <v/>
      </c>
      <c r="C116" s="67" t="str">
        <f t="shared" si="21"/>
        <v/>
      </c>
      <c r="D116" s="105"/>
      <c r="E116" s="106"/>
      <c r="F116" s="106"/>
      <c r="G116" s="106"/>
      <c r="H116" s="107"/>
      <c r="I116" s="106"/>
      <c r="J116" s="106"/>
      <c r="K116" s="106"/>
      <c r="L116" s="106"/>
      <c r="M116" s="106"/>
      <c r="N116" s="108"/>
      <c r="O116" s="108" t="str">
        <f>IF(N116="","",IF('Event Dataset'!N116&lt;='Drop Downs and Assumptions'!$K$2,'Drop Downs and Assumptions'!$L$2,IF(AND('Event Dataset'!N116&gt;='Drop Downs and Assumptions'!$J$3,'Event Dataset'!N116&lt;='Drop Downs and Assumptions'!$K$3),'Drop Downs and Assumptions'!$L$3,IF(AND('Event Dataset'!N116&gt;='Drop Downs and Assumptions'!$J$4,'Event Dataset'!N116&lt;='Drop Downs and Assumptions'!$K$4),'Drop Downs and Assumptions'!$L$4,IF('Event Dataset'!N116&gt;='Drop Downs and Assumptions'!$J$5,'Drop Downs and Assumptions'!$L$5,"")))))</f>
        <v/>
      </c>
      <c r="P116" s="109"/>
      <c r="Q116" s="97"/>
      <c r="R116" s="110"/>
      <c r="S116" s="111"/>
      <c r="T116" s="111"/>
      <c r="U116" s="111"/>
      <c r="V116" s="111"/>
      <c r="W116" s="111"/>
      <c r="X116" s="111"/>
      <c r="Y116" s="111"/>
      <c r="Z116" s="111"/>
      <c r="AA116" s="111"/>
      <c r="AB116" s="111"/>
      <c r="AC116" s="112"/>
      <c r="AD116" s="113" t="str">
        <f t="shared" si="22"/>
        <v/>
      </c>
      <c r="AE116" s="114" t="str">
        <f t="shared" si="23"/>
        <v/>
      </c>
      <c r="AF116" s="115" t="str">
        <f t="shared" si="24"/>
        <v/>
      </c>
      <c r="AG116" s="116" t="str">
        <f t="shared" si="18"/>
        <v/>
      </c>
    </row>
    <row r="117" spans="1:33" x14ac:dyDescent="0.25">
      <c r="A117" s="16">
        <f t="shared" si="19"/>
        <v>114</v>
      </c>
      <c r="B117" s="31" t="str">
        <f t="shared" si="20"/>
        <v/>
      </c>
      <c r="C117" s="66" t="str">
        <f t="shared" si="21"/>
        <v/>
      </c>
      <c r="D117" s="92"/>
      <c r="E117" s="93"/>
      <c r="F117" s="93"/>
      <c r="G117" s="93"/>
      <c r="H117" s="94"/>
      <c r="I117" s="93"/>
      <c r="J117" s="93"/>
      <c r="K117" s="93"/>
      <c r="L117" s="93"/>
      <c r="M117" s="93"/>
      <c r="N117" s="95"/>
      <c r="O117" s="95" t="str">
        <f>IF(N117="","",IF('Event Dataset'!N117&lt;='Drop Downs and Assumptions'!$K$2,'Drop Downs and Assumptions'!$L$2,IF(AND('Event Dataset'!N117&gt;='Drop Downs and Assumptions'!$J$3,'Event Dataset'!N117&lt;='Drop Downs and Assumptions'!$K$3),'Drop Downs and Assumptions'!$L$3,IF(AND('Event Dataset'!N117&gt;='Drop Downs and Assumptions'!$J$4,'Event Dataset'!N117&lt;='Drop Downs and Assumptions'!$K$4),'Drop Downs and Assumptions'!$L$4,IF('Event Dataset'!N117&gt;='Drop Downs and Assumptions'!$J$5,'Drop Downs and Assumptions'!$L$5,"")))))</f>
        <v/>
      </c>
      <c r="P117" s="96"/>
      <c r="Q117" s="97"/>
      <c r="R117" s="98"/>
      <c r="S117" s="99"/>
      <c r="T117" s="99"/>
      <c r="U117" s="99"/>
      <c r="V117" s="99"/>
      <c r="W117" s="99"/>
      <c r="X117" s="99"/>
      <c r="Y117" s="99"/>
      <c r="Z117" s="99"/>
      <c r="AA117" s="99"/>
      <c r="AB117" s="99"/>
      <c r="AC117" s="100"/>
      <c r="AD117" s="101" t="str">
        <f t="shared" si="22"/>
        <v/>
      </c>
      <c r="AE117" s="102" t="str">
        <f t="shared" si="23"/>
        <v/>
      </c>
      <c r="AF117" s="103" t="str">
        <f t="shared" si="24"/>
        <v/>
      </c>
      <c r="AG117" s="104" t="str">
        <f t="shared" si="18"/>
        <v/>
      </c>
    </row>
    <row r="118" spans="1:33" x14ac:dyDescent="0.25">
      <c r="A118" s="4">
        <f t="shared" si="19"/>
        <v>115</v>
      </c>
      <c r="B118" s="30" t="str">
        <f t="shared" si="20"/>
        <v/>
      </c>
      <c r="C118" s="67" t="str">
        <f t="shared" si="21"/>
        <v/>
      </c>
      <c r="D118" s="105"/>
      <c r="E118" s="106"/>
      <c r="F118" s="106"/>
      <c r="G118" s="106"/>
      <c r="H118" s="107"/>
      <c r="I118" s="106"/>
      <c r="J118" s="106"/>
      <c r="K118" s="106"/>
      <c r="L118" s="106"/>
      <c r="M118" s="106"/>
      <c r="N118" s="108"/>
      <c r="O118" s="108" t="str">
        <f>IF(N118="","",IF('Event Dataset'!N118&lt;='Drop Downs and Assumptions'!$K$2,'Drop Downs and Assumptions'!$L$2,IF(AND('Event Dataset'!N118&gt;='Drop Downs and Assumptions'!$J$3,'Event Dataset'!N118&lt;='Drop Downs and Assumptions'!$K$3),'Drop Downs and Assumptions'!$L$3,IF(AND('Event Dataset'!N118&gt;='Drop Downs and Assumptions'!$J$4,'Event Dataset'!N118&lt;='Drop Downs and Assumptions'!$K$4),'Drop Downs and Assumptions'!$L$4,IF('Event Dataset'!N118&gt;='Drop Downs and Assumptions'!$J$5,'Drop Downs and Assumptions'!$L$5,"")))))</f>
        <v/>
      </c>
      <c r="P118" s="109"/>
      <c r="Q118" s="97"/>
      <c r="R118" s="110"/>
      <c r="S118" s="111"/>
      <c r="T118" s="111"/>
      <c r="U118" s="111"/>
      <c r="V118" s="111"/>
      <c r="W118" s="111"/>
      <c r="X118" s="111"/>
      <c r="Y118" s="111"/>
      <c r="Z118" s="111"/>
      <c r="AA118" s="111"/>
      <c r="AB118" s="111"/>
      <c r="AC118" s="112"/>
      <c r="AD118" s="113" t="str">
        <f t="shared" si="22"/>
        <v/>
      </c>
      <c r="AE118" s="114" t="str">
        <f t="shared" si="23"/>
        <v/>
      </c>
      <c r="AF118" s="115" t="str">
        <f t="shared" si="24"/>
        <v/>
      </c>
      <c r="AG118" s="116" t="str">
        <f t="shared" si="18"/>
        <v/>
      </c>
    </row>
    <row r="119" spans="1:33" x14ac:dyDescent="0.25">
      <c r="A119" s="16">
        <f t="shared" si="19"/>
        <v>116</v>
      </c>
      <c r="B119" s="31" t="str">
        <f t="shared" si="20"/>
        <v/>
      </c>
      <c r="C119" s="66" t="str">
        <f t="shared" si="21"/>
        <v/>
      </c>
      <c r="D119" s="92"/>
      <c r="E119" s="93"/>
      <c r="F119" s="93"/>
      <c r="G119" s="93"/>
      <c r="H119" s="94"/>
      <c r="I119" s="93"/>
      <c r="J119" s="93"/>
      <c r="K119" s="93"/>
      <c r="L119" s="93"/>
      <c r="M119" s="93"/>
      <c r="N119" s="95"/>
      <c r="O119" s="95" t="str">
        <f>IF(N119="","",IF('Event Dataset'!N119&lt;='Drop Downs and Assumptions'!$K$2,'Drop Downs and Assumptions'!$L$2,IF(AND('Event Dataset'!N119&gt;='Drop Downs and Assumptions'!$J$3,'Event Dataset'!N119&lt;='Drop Downs and Assumptions'!$K$3),'Drop Downs and Assumptions'!$L$3,IF(AND('Event Dataset'!N119&gt;='Drop Downs and Assumptions'!$J$4,'Event Dataset'!N119&lt;='Drop Downs and Assumptions'!$K$4),'Drop Downs and Assumptions'!$L$4,IF('Event Dataset'!N119&gt;='Drop Downs and Assumptions'!$J$5,'Drop Downs and Assumptions'!$L$5,"")))))</f>
        <v/>
      </c>
      <c r="P119" s="96"/>
      <c r="Q119" s="97"/>
      <c r="R119" s="98"/>
      <c r="S119" s="99"/>
      <c r="T119" s="99"/>
      <c r="U119" s="99"/>
      <c r="V119" s="99"/>
      <c r="W119" s="99"/>
      <c r="X119" s="99"/>
      <c r="Y119" s="99"/>
      <c r="Z119" s="99"/>
      <c r="AA119" s="99"/>
      <c r="AB119" s="99"/>
      <c r="AC119" s="100"/>
      <c r="AD119" s="101" t="str">
        <f t="shared" si="22"/>
        <v/>
      </c>
      <c r="AE119" s="102" t="str">
        <f t="shared" si="23"/>
        <v/>
      </c>
      <c r="AF119" s="103" t="str">
        <f t="shared" si="24"/>
        <v/>
      </c>
      <c r="AG119" s="104" t="str">
        <f t="shared" si="18"/>
        <v/>
      </c>
    </row>
    <row r="120" spans="1:33" x14ac:dyDescent="0.25">
      <c r="A120" s="4">
        <f t="shared" si="19"/>
        <v>117</v>
      </c>
      <c r="B120" s="30" t="str">
        <f t="shared" si="20"/>
        <v/>
      </c>
      <c r="C120" s="67" t="str">
        <f t="shared" si="21"/>
        <v/>
      </c>
      <c r="D120" s="105"/>
      <c r="E120" s="106"/>
      <c r="F120" s="106"/>
      <c r="G120" s="106"/>
      <c r="H120" s="107"/>
      <c r="I120" s="106"/>
      <c r="J120" s="106"/>
      <c r="K120" s="106"/>
      <c r="L120" s="106"/>
      <c r="M120" s="106"/>
      <c r="N120" s="108"/>
      <c r="O120" s="108" t="str">
        <f>IF(N120="","",IF('Event Dataset'!N120&lt;='Drop Downs and Assumptions'!$K$2,'Drop Downs and Assumptions'!$L$2,IF(AND('Event Dataset'!N120&gt;='Drop Downs and Assumptions'!$J$3,'Event Dataset'!N120&lt;='Drop Downs and Assumptions'!$K$3),'Drop Downs and Assumptions'!$L$3,IF(AND('Event Dataset'!N120&gt;='Drop Downs and Assumptions'!$J$4,'Event Dataset'!N120&lt;='Drop Downs and Assumptions'!$K$4),'Drop Downs and Assumptions'!$L$4,IF('Event Dataset'!N120&gt;='Drop Downs and Assumptions'!$J$5,'Drop Downs and Assumptions'!$L$5,"")))))</f>
        <v/>
      </c>
      <c r="P120" s="109"/>
      <c r="Q120" s="97"/>
      <c r="R120" s="110"/>
      <c r="S120" s="111"/>
      <c r="T120" s="111"/>
      <c r="U120" s="111"/>
      <c r="V120" s="111"/>
      <c r="W120" s="111"/>
      <c r="X120" s="111"/>
      <c r="Y120" s="111"/>
      <c r="Z120" s="111"/>
      <c r="AA120" s="111"/>
      <c r="AB120" s="111"/>
      <c r="AC120" s="112"/>
      <c r="AD120" s="113" t="str">
        <f t="shared" si="22"/>
        <v/>
      </c>
      <c r="AE120" s="114" t="str">
        <f t="shared" si="23"/>
        <v/>
      </c>
      <c r="AF120" s="115" t="str">
        <f t="shared" si="24"/>
        <v/>
      </c>
      <c r="AG120" s="116" t="str">
        <f t="shared" si="18"/>
        <v/>
      </c>
    </row>
    <row r="121" spans="1:33" x14ac:dyDescent="0.25">
      <c r="A121" s="16">
        <f t="shared" si="19"/>
        <v>118</v>
      </c>
      <c r="B121" s="31" t="str">
        <f t="shared" si="20"/>
        <v/>
      </c>
      <c r="C121" s="66" t="str">
        <f t="shared" si="21"/>
        <v/>
      </c>
      <c r="D121" s="92"/>
      <c r="E121" s="93"/>
      <c r="F121" s="93"/>
      <c r="G121" s="93"/>
      <c r="H121" s="94"/>
      <c r="I121" s="93"/>
      <c r="J121" s="93"/>
      <c r="K121" s="93"/>
      <c r="L121" s="93"/>
      <c r="M121" s="93"/>
      <c r="N121" s="95"/>
      <c r="O121" s="95" t="str">
        <f>IF(N121="","",IF('Event Dataset'!N121&lt;='Drop Downs and Assumptions'!$K$2,'Drop Downs and Assumptions'!$L$2,IF(AND('Event Dataset'!N121&gt;='Drop Downs and Assumptions'!$J$3,'Event Dataset'!N121&lt;='Drop Downs and Assumptions'!$K$3),'Drop Downs and Assumptions'!$L$3,IF(AND('Event Dataset'!N121&gt;='Drop Downs and Assumptions'!$J$4,'Event Dataset'!N121&lt;='Drop Downs and Assumptions'!$K$4),'Drop Downs and Assumptions'!$L$4,IF('Event Dataset'!N121&gt;='Drop Downs and Assumptions'!$J$5,'Drop Downs and Assumptions'!$L$5,"")))))</f>
        <v/>
      </c>
      <c r="P121" s="96"/>
      <c r="Q121" s="97"/>
      <c r="R121" s="98"/>
      <c r="S121" s="99"/>
      <c r="T121" s="99"/>
      <c r="U121" s="99"/>
      <c r="V121" s="99"/>
      <c r="W121" s="99"/>
      <c r="X121" s="99"/>
      <c r="Y121" s="99"/>
      <c r="Z121" s="99"/>
      <c r="AA121" s="99"/>
      <c r="AB121" s="99"/>
      <c r="AC121" s="100"/>
      <c r="AD121" s="101" t="str">
        <f t="shared" si="22"/>
        <v/>
      </c>
      <c r="AE121" s="102" t="str">
        <f t="shared" si="23"/>
        <v/>
      </c>
      <c r="AF121" s="103" t="str">
        <f t="shared" si="24"/>
        <v/>
      </c>
      <c r="AG121" s="104" t="str">
        <f t="shared" si="18"/>
        <v/>
      </c>
    </row>
    <row r="122" spans="1:33" x14ac:dyDescent="0.25">
      <c r="A122" s="4">
        <f t="shared" si="19"/>
        <v>119</v>
      </c>
      <c r="B122" s="30" t="str">
        <f t="shared" si="20"/>
        <v/>
      </c>
      <c r="C122" s="67" t="str">
        <f t="shared" si="21"/>
        <v/>
      </c>
      <c r="D122" s="105"/>
      <c r="E122" s="106"/>
      <c r="F122" s="106"/>
      <c r="G122" s="106"/>
      <c r="H122" s="107"/>
      <c r="I122" s="106"/>
      <c r="J122" s="106"/>
      <c r="K122" s="106"/>
      <c r="L122" s="106"/>
      <c r="M122" s="106"/>
      <c r="N122" s="108"/>
      <c r="O122" s="108" t="str">
        <f>IF(N122="","",IF('Event Dataset'!N122&lt;='Drop Downs and Assumptions'!$K$2,'Drop Downs and Assumptions'!$L$2,IF(AND('Event Dataset'!N122&gt;='Drop Downs and Assumptions'!$J$3,'Event Dataset'!N122&lt;='Drop Downs and Assumptions'!$K$3),'Drop Downs and Assumptions'!$L$3,IF(AND('Event Dataset'!N122&gt;='Drop Downs and Assumptions'!$J$4,'Event Dataset'!N122&lt;='Drop Downs and Assumptions'!$K$4),'Drop Downs and Assumptions'!$L$4,IF('Event Dataset'!N122&gt;='Drop Downs and Assumptions'!$J$5,'Drop Downs and Assumptions'!$L$5,"")))))</f>
        <v/>
      </c>
      <c r="P122" s="109"/>
      <c r="Q122" s="97"/>
      <c r="R122" s="110"/>
      <c r="S122" s="111"/>
      <c r="T122" s="111"/>
      <c r="U122" s="111"/>
      <c r="V122" s="111"/>
      <c r="W122" s="111"/>
      <c r="X122" s="111"/>
      <c r="Y122" s="111"/>
      <c r="Z122" s="111"/>
      <c r="AA122" s="111"/>
      <c r="AB122" s="111"/>
      <c r="AC122" s="112"/>
      <c r="AD122" s="113" t="str">
        <f t="shared" si="22"/>
        <v/>
      </c>
      <c r="AE122" s="114" t="str">
        <f t="shared" si="23"/>
        <v/>
      </c>
      <c r="AF122" s="115" t="str">
        <f t="shared" si="24"/>
        <v/>
      </c>
      <c r="AG122" s="116" t="str">
        <f t="shared" si="18"/>
        <v/>
      </c>
    </row>
    <row r="123" spans="1:33" x14ac:dyDescent="0.25">
      <c r="A123" s="16">
        <f t="shared" si="19"/>
        <v>120</v>
      </c>
      <c r="B123" s="31" t="str">
        <f t="shared" si="20"/>
        <v/>
      </c>
      <c r="C123" s="66" t="str">
        <f t="shared" si="21"/>
        <v/>
      </c>
      <c r="D123" s="92"/>
      <c r="E123" s="93"/>
      <c r="F123" s="93"/>
      <c r="G123" s="93"/>
      <c r="H123" s="94"/>
      <c r="I123" s="93"/>
      <c r="J123" s="93"/>
      <c r="K123" s="93"/>
      <c r="L123" s="93"/>
      <c r="M123" s="93"/>
      <c r="N123" s="95"/>
      <c r="O123" s="95" t="str">
        <f>IF(N123="","",IF('Event Dataset'!N123&lt;='Drop Downs and Assumptions'!$K$2,'Drop Downs and Assumptions'!$L$2,IF(AND('Event Dataset'!N123&gt;='Drop Downs and Assumptions'!$J$3,'Event Dataset'!N123&lt;='Drop Downs and Assumptions'!$K$3),'Drop Downs and Assumptions'!$L$3,IF(AND('Event Dataset'!N123&gt;='Drop Downs and Assumptions'!$J$4,'Event Dataset'!N123&lt;='Drop Downs and Assumptions'!$K$4),'Drop Downs and Assumptions'!$L$4,IF('Event Dataset'!N123&gt;='Drop Downs and Assumptions'!$J$5,'Drop Downs and Assumptions'!$L$5,"")))))</f>
        <v/>
      </c>
      <c r="P123" s="96"/>
      <c r="Q123" s="97"/>
      <c r="R123" s="98"/>
      <c r="S123" s="99"/>
      <c r="T123" s="99"/>
      <c r="U123" s="99"/>
      <c r="V123" s="99"/>
      <c r="W123" s="99"/>
      <c r="X123" s="99"/>
      <c r="Y123" s="99"/>
      <c r="Z123" s="99"/>
      <c r="AA123" s="99"/>
      <c r="AB123" s="99"/>
      <c r="AC123" s="100"/>
      <c r="AD123" s="101" t="str">
        <f t="shared" si="22"/>
        <v/>
      </c>
      <c r="AE123" s="102" t="str">
        <f t="shared" si="23"/>
        <v/>
      </c>
      <c r="AF123" s="103" t="str">
        <f t="shared" si="24"/>
        <v/>
      </c>
      <c r="AG123" s="104" t="str">
        <f t="shared" si="18"/>
        <v/>
      </c>
    </row>
    <row r="124" spans="1:33" x14ac:dyDescent="0.25">
      <c r="A124" s="4">
        <f t="shared" si="19"/>
        <v>121</v>
      </c>
      <c r="B124" s="30" t="str">
        <f t="shared" si="20"/>
        <v/>
      </c>
      <c r="C124" s="67" t="str">
        <f t="shared" si="21"/>
        <v/>
      </c>
      <c r="D124" s="105"/>
      <c r="E124" s="106"/>
      <c r="F124" s="106"/>
      <c r="G124" s="106"/>
      <c r="H124" s="107"/>
      <c r="I124" s="106"/>
      <c r="J124" s="106"/>
      <c r="K124" s="106"/>
      <c r="L124" s="106"/>
      <c r="M124" s="106"/>
      <c r="N124" s="108"/>
      <c r="O124" s="108" t="str">
        <f>IF(N124="","",IF('Event Dataset'!N124&lt;='Drop Downs and Assumptions'!$K$2,'Drop Downs and Assumptions'!$L$2,IF(AND('Event Dataset'!N124&gt;='Drop Downs and Assumptions'!$J$3,'Event Dataset'!N124&lt;='Drop Downs and Assumptions'!$K$3),'Drop Downs and Assumptions'!$L$3,IF(AND('Event Dataset'!N124&gt;='Drop Downs and Assumptions'!$J$4,'Event Dataset'!N124&lt;='Drop Downs and Assumptions'!$K$4),'Drop Downs and Assumptions'!$L$4,IF('Event Dataset'!N124&gt;='Drop Downs and Assumptions'!$J$5,'Drop Downs and Assumptions'!$L$5,"")))))</f>
        <v/>
      </c>
      <c r="P124" s="109"/>
      <c r="Q124" s="97"/>
      <c r="R124" s="110"/>
      <c r="S124" s="111"/>
      <c r="T124" s="111"/>
      <c r="U124" s="111"/>
      <c r="V124" s="111"/>
      <c r="W124" s="111"/>
      <c r="X124" s="111"/>
      <c r="Y124" s="111"/>
      <c r="Z124" s="111"/>
      <c r="AA124" s="111"/>
      <c r="AB124" s="111"/>
      <c r="AC124" s="112"/>
      <c r="AD124" s="113" t="str">
        <f t="shared" si="22"/>
        <v/>
      </c>
      <c r="AE124" s="114" t="str">
        <f t="shared" si="23"/>
        <v/>
      </c>
      <c r="AF124" s="115" t="str">
        <f t="shared" si="24"/>
        <v/>
      </c>
      <c r="AG124" s="116" t="str">
        <f t="shared" si="18"/>
        <v/>
      </c>
    </row>
    <row r="125" spans="1:33" x14ac:dyDescent="0.25">
      <c r="A125" s="16">
        <f t="shared" si="19"/>
        <v>122</v>
      </c>
      <c r="B125" s="31" t="str">
        <f t="shared" si="20"/>
        <v/>
      </c>
      <c r="C125" s="66" t="str">
        <f t="shared" si="21"/>
        <v/>
      </c>
      <c r="D125" s="92"/>
      <c r="E125" s="93"/>
      <c r="F125" s="93"/>
      <c r="G125" s="93"/>
      <c r="H125" s="94"/>
      <c r="I125" s="93"/>
      <c r="J125" s="93"/>
      <c r="K125" s="93"/>
      <c r="L125" s="93"/>
      <c r="M125" s="93"/>
      <c r="N125" s="95"/>
      <c r="O125" s="95" t="str">
        <f>IF(N125="","",IF('Event Dataset'!N125&lt;='Drop Downs and Assumptions'!$K$2,'Drop Downs and Assumptions'!$L$2,IF(AND('Event Dataset'!N125&gt;='Drop Downs and Assumptions'!$J$3,'Event Dataset'!N125&lt;='Drop Downs and Assumptions'!$K$3),'Drop Downs and Assumptions'!$L$3,IF(AND('Event Dataset'!N125&gt;='Drop Downs and Assumptions'!$J$4,'Event Dataset'!N125&lt;='Drop Downs and Assumptions'!$K$4),'Drop Downs and Assumptions'!$L$4,IF('Event Dataset'!N125&gt;='Drop Downs and Assumptions'!$J$5,'Drop Downs and Assumptions'!$L$5,"")))))</f>
        <v/>
      </c>
      <c r="P125" s="96"/>
      <c r="Q125" s="97"/>
      <c r="R125" s="98"/>
      <c r="S125" s="99"/>
      <c r="T125" s="99"/>
      <c r="U125" s="99"/>
      <c r="V125" s="99"/>
      <c r="W125" s="99"/>
      <c r="X125" s="99"/>
      <c r="Y125" s="99"/>
      <c r="Z125" s="99"/>
      <c r="AA125" s="99"/>
      <c r="AB125" s="99"/>
      <c r="AC125" s="100"/>
      <c r="AD125" s="101" t="str">
        <f t="shared" si="22"/>
        <v/>
      </c>
      <c r="AE125" s="102" t="str">
        <f t="shared" si="23"/>
        <v/>
      </c>
      <c r="AF125" s="103" t="str">
        <f t="shared" si="24"/>
        <v/>
      </c>
      <c r="AG125" s="104" t="str">
        <f t="shared" si="18"/>
        <v/>
      </c>
    </row>
    <row r="126" spans="1:33" x14ac:dyDescent="0.25">
      <c r="A126" s="4">
        <f t="shared" si="19"/>
        <v>123</v>
      </c>
      <c r="B126" s="30" t="str">
        <f t="shared" si="20"/>
        <v/>
      </c>
      <c r="C126" s="67" t="str">
        <f t="shared" si="21"/>
        <v/>
      </c>
      <c r="D126" s="105"/>
      <c r="E126" s="106"/>
      <c r="F126" s="106"/>
      <c r="G126" s="106"/>
      <c r="H126" s="107"/>
      <c r="I126" s="106"/>
      <c r="J126" s="106"/>
      <c r="K126" s="106"/>
      <c r="L126" s="106"/>
      <c r="M126" s="106"/>
      <c r="N126" s="108"/>
      <c r="O126" s="108" t="str">
        <f>IF(N126="","",IF('Event Dataset'!N126&lt;='Drop Downs and Assumptions'!$K$2,'Drop Downs and Assumptions'!$L$2,IF(AND('Event Dataset'!N126&gt;='Drop Downs and Assumptions'!$J$3,'Event Dataset'!N126&lt;='Drop Downs and Assumptions'!$K$3),'Drop Downs and Assumptions'!$L$3,IF(AND('Event Dataset'!N126&gt;='Drop Downs and Assumptions'!$J$4,'Event Dataset'!N126&lt;='Drop Downs and Assumptions'!$K$4),'Drop Downs and Assumptions'!$L$4,IF('Event Dataset'!N126&gt;='Drop Downs and Assumptions'!$J$5,'Drop Downs and Assumptions'!$L$5,"")))))</f>
        <v/>
      </c>
      <c r="P126" s="109"/>
      <c r="Q126" s="97"/>
      <c r="R126" s="110"/>
      <c r="S126" s="111"/>
      <c r="T126" s="111"/>
      <c r="U126" s="111"/>
      <c r="V126" s="111"/>
      <c r="W126" s="111"/>
      <c r="X126" s="111"/>
      <c r="Y126" s="111"/>
      <c r="Z126" s="111"/>
      <c r="AA126" s="111"/>
      <c r="AB126" s="111"/>
      <c r="AC126" s="112"/>
      <c r="AD126" s="113" t="str">
        <f t="shared" si="22"/>
        <v/>
      </c>
      <c r="AE126" s="114" t="str">
        <f t="shared" si="23"/>
        <v/>
      </c>
      <c r="AF126" s="115" t="str">
        <f t="shared" si="24"/>
        <v/>
      </c>
      <c r="AG126" s="116" t="str">
        <f t="shared" si="18"/>
        <v/>
      </c>
    </row>
    <row r="127" spans="1:33" x14ac:dyDescent="0.25">
      <c r="A127" s="16">
        <f t="shared" si="19"/>
        <v>124</v>
      </c>
      <c r="B127" s="31" t="str">
        <f t="shared" si="20"/>
        <v/>
      </c>
      <c r="C127" s="66" t="str">
        <f t="shared" si="21"/>
        <v/>
      </c>
      <c r="D127" s="92"/>
      <c r="E127" s="93"/>
      <c r="F127" s="93"/>
      <c r="G127" s="93"/>
      <c r="H127" s="94"/>
      <c r="I127" s="93"/>
      <c r="J127" s="93"/>
      <c r="K127" s="93"/>
      <c r="L127" s="93"/>
      <c r="M127" s="93"/>
      <c r="N127" s="95"/>
      <c r="O127" s="95" t="str">
        <f>IF(N127="","",IF('Event Dataset'!N127&lt;='Drop Downs and Assumptions'!$K$2,'Drop Downs and Assumptions'!$L$2,IF(AND('Event Dataset'!N127&gt;='Drop Downs and Assumptions'!$J$3,'Event Dataset'!N127&lt;='Drop Downs and Assumptions'!$K$3),'Drop Downs and Assumptions'!$L$3,IF(AND('Event Dataset'!N127&gt;='Drop Downs and Assumptions'!$J$4,'Event Dataset'!N127&lt;='Drop Downs and Assumptions'!$K$4),'Drop Downs and Assumptions'!$L$4,IF('Event Dataset'!N127&gt;='Drop Downs and Assumptions'!$J$5,'Drop Downs and Assumptions'!$L$5,"")))))</f>
        <v/>
      </c>
      <c r="P127" s="96"/>
      <c r="Q127" s="97"/>
      <c r="R127" s="98"/>
      <c r="S127" s="99"/>
      <c r="T127" s="99"/>
      <c r="U127" s="99"/>
      <c r="V127" s="99"/>
      <c r="W127" s="99"/>
      <c r="X127" s="99"/>
      <c r="Y127" s="99"/>
      <c r="Z127" s="99"/>
      <c r="AA127" s="99"/>
      <c r="AB127" s="99"/>
      <c r="AC127" s="100"/>
      <c r="AD127" s="101" t="str">
        <f t="shared" si="22"/>
        <v/>
      </c>
      <c r="AE127" s="102" t="str">
        <f t="shared" si="23"/>
        <v/>
      </c>
      <c r="AF127" s="103" t="str">
        <f t="shared" si="24"/>
        <v/>
      </c>
      <c r="AG127" s="104" t="str">
        <f t="shared" si="18"/>
        <v/>
      </c>
    </row>
    <row r="128" spans="1:33" x14ac:dyDescent="0.25">
      <c r="A128" s="4">
        <f t="shared" si="19"/>
        <v>125</v>
      </c>
      <c r="B128" s="30" t="str">
        <f t="shared" si="20"/>
        <v/>
      </c>
      <c r="C128" s="67" t="str">
        <f t="shared" si="21"/>
        <v/>
      </c>
      <c r="D128" s="105"/>
      <c r="E128" s="106"/>
      <c r="F128" s="106"/>
      <c r="G128" s="106"/>
      <c r="H128" s="107"/>
      <c r="I128" s="106"/>
      <c r="J128" s="106"/>
      <c r="K128" s="106"/>
      <c r="L128" s="106"/>
      <c r="M128" s="106"/>
      <c r="N128" s="108"/>
      <c r="O128" s="108" t="str">
        <f>IF(N128="","",IF('Event Dataset'!N128&lt;='Drop Downs and Assumptions'!$K$2,'Drop Downs and Assumptions'!$L$2,IF(AND('Event Dataset'!N128&gt;='Drop Downs and Assumptions'!$J$3,'Event Dataset'!N128&lt;='Drop Downs and Assumptions'!$K$3),'Drop Downs and Assumptions'!$L$3,IF(AND('Event Dataset'!N128&gt;='Drop Downs and Assumptions'!$J$4,'Event Dataset'!N128&lt;='Drop Downs and Assumptions'!$K$4),'Drop Downs and Assumptions'!$L$4,IF('Event Dataset'!N128&gt;='Drop Downs and Assumptions'!$J$5,'Drop Downs and Assumptions'!$L$5,"")))))</f>
        <v/>
      </c>
      <c r="P128" s="109"/>
      <c r="Q128" s="97"/>
      <c r="R128" s="110"/>
      <c r="S128" s="111"/>
      <c r="T128" s="111"/>
      <c r="U128" s="111"/>
      <c r="V128" s="111"/>
      <c r="W128" s="111"/>
      <c r="X128" s="111"/>
      <c r="Y128" s="111"/>
      <c r="Z128" s="111"/>
      <c r="AA128" s="111"/>
      <c r="AB128" s="111"/>
      <c r="AC128" s="112"/>
      <c r="AD128" s="113" t="str">
        <f t="shared" si="22"/>
        <v/>
      </c>
      <c r="AE128" s="114" t="str">
        <f t="shared" si="23"/>
        <v/>
      </c>
      <c r="AF128" s="115" t="str">
        <f t="shared" si="24"/>
        <v/>
      </c>
      <c r="AG128" s="116" t="str">
        <f t="shared" si="18"/>
        <v/>
      </c>
    </row>
    <row r="129" spans="1:33" x14ac:dyDescent="0.25">
      <c r="A129" s="16">
        <f t="shared" si="19"/>
        <v>126</v>
      </c>
      <c r="B129" s="31" t="str">
        <f t="shared" si="20"/>
        <v/>
      </c>
      <c r="C129" s="66" t="str">
        <f t="shared" si="21"/>
        <v/>
      </c>
      <c r="D129" s="92"/>
      <c r="E129" s="93"/>
      <c r="F129" s="93"/>
      <c r="G129" s="93"/>
      <c r="H129" s="94"/>
      <c r="I129" s="93"/>
      <c r="J129" s="93"/>
      <c r="K129" s="93"/>
      <c r="L129" s="93"/>
      <c r="M129" s="93"/>
      <c r="N129" s="95"/>
      <c r="O129" s="95" t="str">
        <f>IF(N129="","",IF('Event Dataset'!N129&lt;='Drop Downs and Assumptions'!$K$2,'Drop Downs and Assumptions'!$L$2,IF(AND('Event Dataset'!N129&gt;='Drop Downs and Assumptions'!$J$3,'Event Dataset'!N129&lt;='Drop Downs and Assumptions'!$K$3),'Drop Downs and Assumptions'!$L$3,IF(AND('Event Dataset'!N129&gt;='Drop Downs and Assumptions'!$J$4,'Event Dataset'!N129&lt;='Drop Downs and Assumptions'!$K$4),'Drop Downs and Assumptions'!$L$4,IF('Event Dataset'!N129&gt;='Drop Downs and Assumptions'!$J$5,'Drop Downs and Assumptions'!$L$5,"")))))</f>
        <v/>
      </c>
      <c r="P129" s="96"/>
      <c r="Q129" s="97"/>
      <c r="R129" s="98"/>
      <c r="S129" s="99"/>
      <c r="T129" s="99"/>
      <c r="U129" s="99"/>
      <c r="V129" s="99"/>
      <c r="W129" s="99"/>
      <c r="X129" s="99"/>
      <c r="Y129" s="99"/>
      <c r="Z129" s="99"/>
      <c r="AA129" s="99"/>
      <c r="AB129" s="99"/>
      <c r="AC129" s="100"/>
      <c r="AD129" s="101" t="str">
        <f t="shared" si="22"/>
        <v/>
      </c>
      <c r="AE129" s="102" t="str">
        <f t="shared" si="23"/>
        <v/>
      </c>
      <c r="AF129" s="103" t="str">
        <f t="shared" si="24"/>
        <v/>
      </c>
      <c r="AG129" s="104" t="str">
        <f t="shared" si="18"/>
        <v/>
      </c>
    </row>
    <row r="130" spans="1:33" x14ac:dyDescent="0.25">
      <c r="A130" s="4">
        <f t="shared" si="19"/>
        <v>127</v>
      </c>
      <c r="B130" s="30" t="str">
        <f t="shared" si="20"/>
        <v/>
      </c>
      <c r="C130" s="67" t="str">
        <f t="shared" si="21"/>
        <v/>
      </c>
      <c r="D130" s="105"/>
      <c r="E130" s="106"/>
      <c r="F130" s="106"/>
      <c r="G130" s="106"/>
      <c r="H130" s="107"/>
      <c r="I130" s="106"/>
      <c r="J130" s="106"/>
      <c r="K130" s="106"/>
      <c r="L130" s="106"/>
      <c r="M130" s="106"/>
      <c r="N130" s="108"/>
      <c r="O130" s="108" t="str">
        <f>IF(N130="","",IF('Event Dataset'!N130&lt;='Drop Downs and Assumptions'!$K$2,'Drop Downs and Assumptions'!$L$2,IF(AND('Event Dataset'!N130&gt;='Drop Downs and Assumptions'!$J$3,'Event Dataset'!N130&lt;='Drop Downs and Assumptions'!$K$3),'Drop Downs and Assumptions'!$L$3,IF(AND('Event Dataset'!N130&gt;='Drop Downs and Assumptions'!$J$4,'Event Dataset'!N130&lt;='Drop Downs and Assumptions'!$K$4),'Drop Downs and Assumptions'!$L$4,IF('Event Dataset'!N130&gt;='Drop Downs and Assumptions'!$J$5,'Drop Downs and Assumptions'!$L$5,"")))))</f>
        <v/>
      </c>
      <c r="P130" s="109"/>
      <c r="Q130" s="97"/>
      <c r="R130" s="110"/>
      <c r="S130" s="111"/>
      <c r="T130" s="111"/>
      <c r="U130" s="111"/>
      <c r="V130" s="111"/>
      <c r="W130" s="111"/>
      <c r="X130" s="111"/>
      <c r="Y130" s="111"/>
      <c r="Z130" s="111"/>
      <c r="AA130" s="111"/>
      <c r="AB130" s="111"/>
      <c r="AC130" s="112"/>
      <c r="AD130" s="113" t="str">
        <f t="shared" si="22"/>
        <v/>
      </c>
      <c r="AE130" s="114" t="str">
        <f t="shared" si="23"/>
        <v/>
      </c>
      <c r="AF130" s="115" t="str">
        <f t="shared" si="24"/>
        <v/>
      </c>
      <c r="AG130" s="116" t="str">
        <f t="shared" si="18"/>
        <v/>
      </c>
    </row>
    <row r="131" spans="1:33" x14ac:dyDescent="0.25">
      <c r="A131" s="16">
        <f t="shared" si="19"/>
        <v>128</v>
      </c>
      <c r="B131" s="31" t="str">
        <f t="shared" si="20"/>
        <v/>
      </c>
      <c r="C131" s="66" t="str">
        <f t="shared" si="21"/>
        <v/>
      </c>
      <c r="D131" s="92"/>
      <c r="E131" s="93"/>
      <c r="F131" s="93"/>
      <c r="G131" s="93"/>
      <c r="H131" s="94"/>
      <c r="I131" s="93"/>
      <c r="J131" s="93"/>
      <c r="K131" s="93"/>
      <c r="L131" s="93"/>
      <c r="M131" s="93"/>
      <c r="N131" s="95"/>
      <c r="O131" s="95" t="str">
        <f>IF(N131="","",IF('Event Dataset'!N131&lt;='Drop Downs and Assumptions'!$K$2,'Drop Downs and Assumptions'!$L$2,IF(AND('Event Dataset'!N131&gt;='Drop Downs and Assumptions'!$J$3,'Event Dataset'!N131&lt;='Drop Downs and Assumptions'!$K$3),'Drop Downs and Assumptions'!$L$3,IF(AND('Event Dataset'!N131&gt;='Drop Downs and Assumptions'!$J$4,'Event Dataset'!N131&lt;='Drop Downs and Assumptions'!$K$4),'Drop Downs and Assumptions'!$L$4,IF('Event Dataset'!N131&gt;='Drop Downs and Assumptions'!$J$5,'Drop Downs and Assumptions'!$L$5,"")))))</f>
        <v/>
      </c>
      <c r="P131" s="96"/>
      <c r="Q131" s="97"/>
      <c r="R131" s="98"/>
      <c r="S131" s="99"/>
      <c r="T131" s="99"/>
      <c r="U131" s="99"/>
      <c r="V131" s="99"/>
      <c r="W131" s="99"/>
      <c r="X131" s="99"/>
      <c r="Y131" s="99"/>
      <c r="Z131" s="99"/>
      <c r="AA131" s="99"/>
      <c r="AB131" s="99"/>
      <c r="AC131" s="100"/>
      <c r="AD131" s="101" t="str">
        <f t="shared" si="22"/>
        <v/>
      </c>
      <c r="AE131" s="102" t="str">
        <f t="shared" si="23"/>
        <v/>
      </c>
      <c r="AF131" s="103" t="str">
        <f t="shared" si="24"/>
        <v/>
      </c>
      <c r="AG131" s="104" t="str">
        <f t="shared" si="18"/>
        <v/>
      </c>
    </row>
    <row r="132" spans="1:33" x14ac:dyDescent="0.25">
      <c r="A132" s="4">
        <f t="shared" si="19"/>
        <v>129</v>
      </c>
      <c r="B132" s="30" t="str">
        <f t="shared" si="20"/>
        <v/>
      </c>
      <c r="C132" s="67" t="str">
        <f t="shared" si="21"/>
        <v/>
      </c>
      <c r="D132" s="105"/>
      <c r="E132" s="106"/>
      <c r="F132" s="106"/>
      <c r="G132" s="106"/>
      <c r="H132" s="107"/>
      <c r="I132" s="106"/>
      <c r="J132" s="106"/>
      <c r="K132" s="106"/>
      <c r="L132" s="106"/>
      <c r="M132" s="106"/>
      <c r="N132" s="108"/>
      <c r="O132" s="108" t="str">
        <f>IF(N132="","",IF('Event Dataset'!N132&lt;='Drop Downs and Assumptions'!$K$2,'Drop Downs and Assumptions'!$L$2,IF(AND('Event Dataset'!N132&gt;='Drop Downs and Assumptions'!$J$3,'Event Dataset'!N132&lt;='Drop Downs and Assumptions'!$K$3),'Drop Downs and Assumptions'!$L$3,IF(AND('Event Dataset'!N132&gt;='Drop Downs and Assumptions'!$J$4,'Event Dataset'!N132&lt;='Drop Downs and Assumptions'!$K$4),'Drop Downs and Assumptions'!$L$4,IF('Event Dataset'!N132&gt;='Drop Downs and Assumptions'!$J$5,'Drop Downs and Assumptions'!$L$5,"")))))</f>
        <v/>
      </c>
      <c r="P132" s="109"/>
      <c r="Q132" s="97"/>
      <c r="R132" s="110"/>
      <c r="S132" s="111"/>
      <c r="T132" s="111"/>
      <c r="U132" s="111"/>
      <c r="V132" s="111"/>
      <c r="W132" s="111"/>
      <c r="X132" s="111"/>
      <c r="Y132" s="111"/>
      <c r="Z132" s="111"/>
      <c r="AA132" s="111"/>
      <c r="AB132" s="111"/>
      <c r="AC132" s="112"/>
      <c r="AD132" s="113" t="str">
        <f t="shared" si="22"/>
        <v/>
      </c>
      <c r="AE132" s="114" t="str">
        <f t="shared" si="23"/>
        <v/>
      </c>
      <c r="AF132" s="115" t="str">
        <f t="shared" si="24"/>
        <v/>
      </c>
      <c r="AG132" s="116" t="str">
        <f t="shared" ref="AG132:AG195" si="25">IFERROR((AD132-AC132)*1000/P132/N132,"")</f>
        <v/>
      </c>
    </row>
    <row r="133" spans="1:33" x14ac:dyDescent="0.25">
      <c r="A133" s="16">
        <f t="shared" ref="A133:A196" si="26">A132+1</f>
        <v>130</v>
      </c>
      <c r="B133" s="31" t="str">
        <f t="shared" ref="B133:B196" si="27">IFERROR(RANK(AF133,$AF$4:$AF$470,0),"")</f>
        <v/>
      </c>
      <c r="C133" s="66" t="str">
        <f t="shared" si="21"/>
        <v/>
      </c>
      <c r="D133" s="92"/>
      <c r="E133" s="93"/>
      <c r="F133" s="93"/>
      <c r="G133" s="93"/>
      <c r="H133" s="94"/>
      <c r="I133" s="93"/>
      <c r="J133" s="93"/>
      <c r="K133" s="93"/>
      <c r="L133" s="93"/>
      <c r="M133" s="93"/>
      <c r="N133" s="95"/>
      <c r="O133" s="95" t="str">
        <f>IF(N133="","",IF('Event Dataset'!N133&lt;='Drop Downs and Assumptions'!$K$2,'Drop Downs and Assumptions'!$L$2,IF(AND('Event Dataset'!N133&gt;='Drop Downs and Assumptions'!$J$3,'Event Dataset'!N133&lt;='Drop Downs and Assumptions'!$K$3),'Drop Downs and Assumptions'!$L$3,IF(AND('Event Dataset'!N133&gt;='Drop Downs and Assumptions'!$J$4,'Event Dataset'!N133&lt;='Drop Downs and Assumptions'!$K$4),'Drop Downs and Assumptions'!$L$4,IF('Event Dataset'!N133&gt;='Drop Downs and Assumptions'!$J$5,'Drop Downs and Assumptions'!$L$5,"")))))</f>
        <v/>
      </c>
      <c r="P133" s="96"/>
      <c r="Q133" s="97"/>
      <c r="R133" s="98"/>
      <c r="S133" s="99"/>
      <c r="T133" s="99"/>
      <c r="U133" s="99"/>
      <c r="V133" s="99"/>
      <c r="W133" s="99"/>
      <c r="X133" s="99"/>
      <c r="Y133" s="99"/>
      <c r="Z133" s="99"/>
      <c r="AA133" s="99"/>
      <c r="AB133" s="99"/>
      <c r="AC133" s="100"/>
      <c r="AD133" s="101" t="str">
        <f t="shared" si="22"/>
        <v/>
      </c>
      <c r="AE133" s="102" t="str">
        <f t="shared" si="23"/>
        <v/>
      </c>
      <c r="AF133" s="103" t="str">
        <f t="shared" si="24"/>
        <v/>
      </c>
      <c r="AG133" s="104" t="str">
        <f t="shared" si="25"/>
        <v/>
      </c>
    </row>
    <row r="134" spans="1:33" x14ac:dyDescent="0.25">
      <c r="A134" s="4">
        <f t="shared" si="26"/>
        <v>131</v>
      </c>
      <c r="B134" s="30" t="str">
        <f t="shared" si="27"/>
        <v/>
      </c>
      <c r="C134" s="67" t="str">
        <f t="shared" si="21"/>
        <v/>
      </c>
      <c r="D134" s="105"/>
      <c r="E134" s="106"/>
      <c r="F134" s="106"/>
      <c r="G134" s="106"/>
      <c r="H134" s="107"/>
      <c r="I134" s="106"/>
      <c r="J134" s="106"/>
      <c r="K134" s="106"/>
      <c r="L134" s="106"/>
      <c r="M134" s="106"/>
      <c r="N134" s="108"/>
      <c r="O134" s="108" t="str">
        <f>IF(N134="","",IF('Event Dataset'!N134&lt;='Drop Downs and Assumptions'!$K$2,'Drop Downs and Assumptions'!$L$2,IF(AND('Event Dataset'!N134&gt;='Drop Downs and Assumptions'!$J$3,'Event Dataset'!N134&lt;='Drop Downs and Assumptions'!$K$3),'Drop Downs and Assumptions'!$L$3,IF(AND('Event Dataset'!N134&gt;='Drop Downs and Assumptions'!$J$4,'Event Dataset'!N134&lt;='Drop Downs and Assumptions'!$K$4),'Drop Downs and Assumptions'!$L$4,IF('Event Dataset'!N134&gt;='Drop Downs and Assumptions'!$J$5,'Drop Downs and Assumptions'!$L$5,"")))))</f>
        <v/>
      </c>
      <c r="P134" s="109"/>
      <c r="Q134" s="97"/>
      <c r="R134" s="110"/>
      <c r="S134" s="111"/>
      <c r="T134" s="111"/>
      <c r="U134" s="111"/>
      <c r="V134" s="111"/>
      <c r="W134" s="111"/>
      <c r="X134" s="111"/>
      <c r="Y134" s="111"/>
      <c r="Z134" s="111"/>
      <c r="AA134" s="111"/>
      <c r="AB134" s="111"/>
      <c r="AC134" s="112"/>
      <c r="AD134" s="113" t="str">
        <f t="shared" si="22"/>
        <v/>
      </c>
      <c r="AE134" s="114" t="str">
        <f t="shared" si="23"/>
        <v/>
      </c>
      <c r="AF134" s="115" t="str">
        <f t="shared" si="24"/>
        <v/>
      </c>
      <c r="AG134" s="116" t="str">
        <f t="shared" si="25"/>
        <v/>
      </c>
    </row>
    <row r="135" spans="1:33" x14ac:dyDescent="0.25">
      <c r="A135" s="16">
        <f t="shared" si="26"/>
        <v>132</v>
      </c>
      <c r="B135" s="31" t="str">
        <f t="shared" si="27"/>
        <v/>
      </c>
      <c r="C135" s="66" t="str">
        <f t="shared" si="21"/>
        <v/>
      </c>
      <c r="D135" s="92"/>
      <c r="E135" s="93"/>
      <c r="F135" s="93"/>
      <c r="G135" s="93"/>
      <c r="H135" s="94"/>
      <c r="I135" s="93"/>
      <c r="J135" s="93"/>
      <c r="K135" s="93"/>
      <c r="L135" s="93"/>
      <c r="M135" s="93"/>
      <c r="N135" s="95"/>
      <c r="O135" s="95" t="str">
        <f>IF(N135="","",IF('Event Dataset'!N135&lt;='Drop Downs and Assumptions'!$K$2,'Drop Downs and Assumptions'!$L$2,IF(AND('Event Dataset'!N135&gt;='Drop Downs and Assumptions'!$J$3,'Event Dataset'!N135&lt;='Drop Downs and Assumptions'!$K$3),'Drop Downs and Assumptions'!$L$3,IF(AND('Event Dataset'!N135&gt;='Drop Downs and Assumptions'!$J$4,'Event Dataset'!N135&lt;='Drop Downs and Assumptions'!$K$4),'Drop Downs and Assumptions'!$L$4,IF('Event Dataset'!N135&gt;='Drop Downs and Assumptions'!$J$5,'Drop Downs and Assumptions'!$L$5,"")))))</f>
        <v/>
      </c>
      <c r="P135" s="96"/>
      <c r="Q135" s="97"/>
      <c r="R135" s="98"/>
      <c r="S135" s="99"/>
      <c r="T135" s="99"/>
      <c r="U135" s="99"/>
      <c r="V135" s="99"/>
      <c r="W135" s="99"/>
      <c r="X135" s="99"/>
      <c r="Y135" s="99"/>
      <c r="Z135" s="99"/>
      <c r="AA135" s="99"/>
      <c r="AB135" s="99"/>
      <c r="AC135" s="100"/>
      <c r="AD135" s="101" t="str">
        <f t="shared" si="22"/>
        <v/>
      </c>
      <c r="AE135" s="102" t="str">
        <f t="shared" si="23"/>
        <v/>
      </c>
      <c r="AF135" s="103" t="str">
        <f t="shared" si="24"/>
        <v/>
      </c>
      <c r="AG135" s="104" t="str">
        <f t="shared" si="25"/>
        <v/>
      </c>
    </row>
    <row r="136" spans="1:33" x14ac:dyDescent="0.25">
      <c r="A136" s="4">
        <f t="shared" si="26"/>
        <v>133</v>
      </c>
      <c r="B136" s="30" t="str">
        <f t="shared" si="27"/>
        <v/>
      </c>
      <c r="C136" s="67" t="str">
        <f t="shared" si="21"/>
        <v/>
      </c>
      <c r="D136" s="105"/>
      <c r="E136" s="106"/>
      <c r="F136" s="106"/>
      <c r="G136" s="106"/>
      <c r="H136" s="107"/>
      <c r="I136" s="106"/>
      <c r="J136" s="106"/>
      <c r="K136" s="106"/>
      <c r="L136" s="106"/>
      <c r="M136" s="106"/>
      <c r="N136" s="108"/>
      <c r="O136" s="108" t="str">
        <f>IF(N136="","",IF('Event Dataset'!N136&lt;='Drop Downs and Assumptions'!$K$2,'Drop Downs and Assumptions'!$L$2,IF(AND('Event Dataset'!N136&gt;='Drop Downs and Assumptions'!$J$3,'Event Dataset'!N136&lt;='Drop Downs and Assumptions'!$K$3),'Drop Downs and Assumptions'!$L$3,IF(AND('Event Dataset'!N136&gt;='Drop Downs and Assumptions'!$J$4,'Event Dataset'!N136&lt;='Drop Downs and Assumptions'!$K$4),'Drop Downs and Assumptions'!$L$4,IF('Event Dataset'!N136&gt;='Drop Downs and Assumptions'!$J$5,'Drop Downs and Assumptions'!$L$5,"")))))</f>
        <v/>
      </c>
      <c r="P136" s="109"/>
      <c r="Q136" s="97"/>
      <c r="R136" s="110"/>
      <c r="S136" s="111"/>
      <c r="T136" s="111"/>
      <c r="U136" s="111"/>
      <c r="V136" s="111"/>
      <c r="W136" s="111"/>
      <c r="X136" s="111"/>
      <c r="Y136" s="111"/>
      <c r="Z136" s="111"/>
      <c r="AA136" s="111"/>
      <c r="AB136" s="111"/>
      <c r="AC136" s="112"/>
      <c r="AD136" s="113" t="str">
        <f t="shared" si="22"/>
        <v/>
      </c>
      <c r="AE136" s="114" t="str">
        <f t="shared" si="23"/>
        <v/>
      </c>
      <c r="AF136" s="115" t="str">
        <f t="shared" si="24"/>
        <v/>
      </c>
      <c r="AG136" s="116" t="str">
        <f t="shared" si="25"/>
        <v/>
      </c>
    </row>
    <row r="137" spans="1:33" x14ac:dyDescent="0.25">
      <c r="A137" s="16">
        <f t="shared" si="26"/>
        <v>134</v>
      </c>
      <c r="B137" s="31" t="str">
        <f t="shared" si="27"/>
        <v/>
      </c>
      <c r="C137" s="66" t="str">
        <f t="shared" si="21"/>
        <v/>
      </c>
      <c r="D137" s="92"/>
      <c r="E137" s="93"/>
      <c r="F137" s="93"/>
      <c r="G137" s="93"/>
      <c r="H137" s="94"/>
      <c r="I137" s="93"/>
      <c r="J137" s="93"/>
      <c r="K137" s="93"/>
      <c r="L137" s="93"/>
      <c r="M137" s="93"/>
      <c r="N137" s="95"/>
      <c r="O137" s="95" t="str">
        <f>IF(N137="","",IF('Event Dataset'!N137&lt;='Drop Downs and Assumptions'!$K$2,'Drop Downs and Assumptions'!$L$2,IF(AND('Event Dataset'!N137&gt;='Drop Downs and Assumptions'!$J$3,'Event Dataset'!N137&lt;='Drop Downs and Assumptions'!$K$3),'Drop Downs and Assumptions'!$L$3,IF(AND('Event Dataset'!N137&gt;='Drop Downs and Assumptions'!$J$4,'Event Dataset'!N137&lt;='Drop Downs and Assumptions'!$K$4),'Drop Downs and Assumptions'!$L$4,IF('Event Dataset'!N137&gt;='Drop Downs and Assumptions'!$J$5,'Drop Downs and Assumptions'!$L$5,"")))))</f>
        <v/>
      </c>
      <c r="P137" s="96"/>
      <c r="Q137" s="97"/>
      <c r="R137" s="98"/>
      <c r="S137" s="99"/>
      <c r="T137" s="99"/>
      <c r="U137" s="99"/>
      <c r="V137" s="99"/>
      <c r="W137" s="99"/>
      <c r="X137" s="99"/>
      <c r="Y137" s="99"/>
      <c r="Z137" s="99"/>
      <c r="AA137" s="99"/>
      <c r="AB137" s="99"/>
      <c r="AC137" s="100"/>
      <c r="AD137" s="101" t="str">
        <f t="shared" si="22"/>
        <v/>
      </c>
      <c r="AE137" s="102" t="str">
        <f t="shared" si="23"/>
        <v/>
      </c>
      <c r="AF137" s="103" t="str">
        <f t="shared" si="24"/>
        <v/>
      </c>
      <c r="AG137" s="104" t="str">
        <f t="shared" si="25"/>
        <v/>
      </c>
    </row>
    <row r="138" spans="1:33" x14ac:dyDescent="0.25">
      <c r="A138" s="4">
        <f t="shared" si="26"/>
        <v>135</v>
      </c>
      <c r="B138" s="30" t="str">
        <f t="shared" si="27"/>
        <v/>
      </c>
      <c r="C138" s="67" t="str">
        <f t="shared" si="21"/>
        <v/>
      </c>
      <c r="D138" s="105"/>
      <c r="E138" s="106"/>
      <c r="F138" s="106"/>
      <c r="G138" s="106"/>
      <c r="H138" s="107"/>
      <c r="I138" s="106"/>
      <c r="J138" s="106"/>
      <c r="K138" s="106"/>
      <c r="L138" s="106"/>
      <c r="M138" s="106"/>
      <c r="N138" s="108"/>
      <c r="O138" s="108" t="str">
        <f>IF(N138="","",IF('Event Dataset'!N138&lt;='Drop Downs and Assumptions'!$K$2,'Drop Downs and Assumptions'!$L$2,IF(AND('Event Dataset'!N138&gt;='Drop Downs and Assumptions'!$J$3,'Event Dataset'!N138&lt;='Drop Downs and Assumptions'!$K$3),'Drop Downs and Assumptions'!$L$3,IF(AND('Event Dataset'!N138&gt;='Drop Downs and Assumptions'!$J$4,'Event Dataset'!N138&lt;='Drop Downs and Assumptions'!$K$4),'Drop Downs and Assumptions'!$L$4,IF('Event Dataset'!N138&gt;='Drop Downs and Assumptions'!$J$5,'Drop Downs and Assumptions'!$L$5,"")))))</f>
        <v/>
      </c>
      <c r="P138" s="109"/>
      <c r="Q138" s="97"/>
      <c r="R138" s="110"/>
      <c r="S138" s="111"/>
      <c r="T138" s="111"/>
      <c r="U138" s="111"/>
      <c r="V138" s="111"/>
      <c r="W138" s="111"/>
      <c r="X138" s="111"/>
      <c r="Y138" s="111"/>
      <c r="Z138" s="111"/>
      <c r="AA138" s="111"/>
      <c r="AB138" s="111"/>
      <c r="AC138" s="112"/>
      <c r="AD138" s="113" t="str">
        <f t="shared" si="22"/>
        <v/>
      </c>
      <c r="AE138" s="114" t="str">
        <f t="shared" si="23"/>
        <v/>
      </c>
      <c r="AF138" s="115" t="str">
        <f t="shared" si="24"/>
        <v/>
      </c>
      <c r="AG138" s="116" t="str">
        <f t="shared" si="25"/>
        <v/>
      </c>
    </row>
    <row r="139" spans="1:33" x14ac:dyDescent="0.25">
      <c r="A139" s="16">
        <f t="shared" si="26"/>
        <v>136</v>
      </c>
      <c r="B139" s="31" t="str">
        <f t="shared" si="27"/>
        <v/>
      </c>
      <c r="C139" s="66" t="str">
        <f t="shared" si="21"/>
        <v/>
      </c>
      <c r="D139" s="92"/>
      <c r="E139" s="93"/>
      <c r="F139" s="93"/>
      <c r="G139" s="93"/>
      <c r="H139" s="94"/>
      <c r="I139" s="93"/>
      <c r="J139" s="93"/>
      <c r="K139" s="93"/>
      <c r="L139" s="93"/>
      <c r="M139" s="93"/>
      <c r="N139" s="95"/>
      <c r="O139" s="95" t="str">
        <f>IF(N139="","",IF('Event Dataset'!N139&lt;='Drop Downs and Assumptions'!$K$2,'Drop Downs and Assumptions'!$L$2,IF(AND('Event Dataset'!N139&gt;='Drop Downs and Assumptions'!$J$3,'Event Dataset'!N139&lt;='Drop Downs and Assumptions'!$K$3),'Drop Downs and Assumptions'!$L$3,IF(AND('Event Dataset'!N139&gt;='Drop Downs and Assumptions'!$J$4,'Event Dataset'!N139&lt;='Drop Downs and Assumptions'!$K$4),'Drop Downs and Assumptions'!$L$4,IF('Event Dataset'!N139&gt;='Drop Downs and Assumptions'!$J$5,'Drop Downs and Assumptions'!$L$5,"")))))</f>
        <v/>
      </c>
      <c r="P139" s="96"/>
      <c r="Q139" s="97"/>
      <c r="R139" s="98"/>
      <c r="S139" s="99"/>
      <c r="T139" s="99"/>
      <c r="U139" s="99"/>
      <c r="V139" s="99"/>
      <c r="W139" s="99"/>
      <c r="X139" s="99"/>
      <c r="Y139" s="99"/>
      <c r="Z139" s="99"/>
      <c r="AA139" s="99"/>
      <c r="AB139" s="99"/>
      <c r="AC139" s="100"/>
      <c r="AD139" s="101" t="str">
        <f t="shared" si="22"/>
        <v/>
      </c>
      <c r="AE139" s="102" t="str">
        <f t="shared" si="23"/>
        <v/>
      </c>
      <c r="AF139" s="103" t="str">
        <f t="shared" si="24"/>
        <v/>
      </c>
      <c r="AG139" s="104" t="str">
        <f t="shared" si="25"/>
        <v/>
      </c>
    </row>
    <row r="140" spans="1:33" x14ac:dyDescent="0.25">
      <c r="A140" s="4">
        <f t="shared" si="26"/>
        <v>137</v>
      </c>
      <c r="B140" s="30" t="str">
        <f t="shared" si="27"/>
        <v/>
      </c>
      <c r="C140" s="67" t="str">
        <f t="shared" si="21"/>
        <v/>
      </c>
      <c r="D140" s="105"/>
      <c r="E140" s="106"/>
      <c r="F140" s="106"/>
      <c r="G140" s="106"/>
      <c r="H140" s="107"/>
      <c r="I140" s="106"/>
      <c r="J140" s="106"/>
      <c r="K140" s="106"/>
      <c r="L140" s="106"/>
      <c r="M140" s="106"/>
      <c r="N140" s="108"/>
      <c r="O140" s="108" t="str">
        <f>IF(N140="","",IF('Event Dataset'!N140&lt;='Drop Downs and Assumptions'!$K$2,'Drop Downs and Assumptions'!$L$2,IF(AND('Event Dataset'!N140&gt;='Drop Downs and Assumptions'!$J$3,'Event Dataset'!N140&lt;='Drop Downs and Assumptions'!$K$3),'Drop Downs and Assumptions'!$L$3,IF(AND('Event Dataset'!N140&gt;='Drop Downs and Assumptions'!$J$4,'Event Dataset'!N140&lt;='Drop Downs and Assumptions'!$K$4),'Drop Downs and Assumptions'!$L$4,IF('Event Dataset'!N140&gt;='Drop Downs and Assumptions'!$J$5,'Drop Downs and Assumptions'!$L$5,"")))))</f>
        <v/>
      </c>
      <c r="P140" s="109"/>
      <c r="Q140" s="97"/>
      <c r="R140" s="110"/>
      <c r="S140" s="111"/>
      <c r="T140" s="111"/>
      <c r="U140" s="111"/>
      <c r="V140" s="111"/>
      <c r="W140" s="111"/>
      <c r="X140" s="111"/>
      <c r="Y140" s="111"/>
      <c r="Z140" s="111"/>
      <c r="AA140" s="111"/>
      <c r="AB140" s="111"/>
      <c r="AC140" s="112"/>
      <c r="AD140" s="113" t="str">
        <f t="shared" si="22"/>
        <v/>
      </c>
      <c r="AE140" s="114" t="str">
        <f t="shared" si="23"/>
        <v/>
      </c>
      <c r="AF140" s="115" t="str">
        <f t="shared" si="24"/>
        <v/>
      </c>
      <c r="AG140" s="116" t="str">
        <f t="shared" si="25"/>
        <v/>
      </c>
    </row>
    <row r="141" spans="1:33" x14ac:dyDescent="0.25">
      <c r="A141" s="16">
        <f t="shared" si="26"/>
        <v>138</v>
      </c>
      <c r="B141" s="31" t="str">
        <f t="shared" si="27"/>
        <v/>
      </c>
      <c r="C141" s="66" t="str">
        <f t="shared" si="21"/>
        <v/>
      </c>
      <c r="D141" s="92"/>
      <c r="E141" s="93"/>
      <c r="F141" s="93"/>
      <c r="G141" s="93"/>
      <c r="H141" s="94"/>
      <c r="I141" s="93"/>
      <c r="J141" s="93"/>
      <c r="K141" s="93"/>
      <c r="L141" s="93"/>
      <c r="M141" s="93"/>
      <c r="N141" s="95"/>
      <c r="O141" s="95" t="str">
        <f>IF(N141="","",IF('Event Dataset'!N141&lt;='Drop Downs and Assumptions'!$K$2,'Drop Downs and Assumptions'!$L$2,IF(AND('Event Dataset'!N141&gt;='Drop Downs and Assumptions'!$J$3,'Event Dataset'!N141&lt;='Drop Downs and Assumptions'!$K$3),'Drop Downs and Assumptions'!$L$3,IF(AND('Event Dataset'!N141&gt;='Drop Downs and Assumptions'!$J$4,'Event Dataset'!N141&lt;='Drop Downs and Assumptions'!$K$4),'Drop Downs and Assumptions'!$L$4,IF('Event Dataset'!N141&gt;='Drop Downs and Assumptions'!$J$5,'Drop Downs and Assumptions'!$L$5,"")))))</f>
        <v/>
      </c>
      <c r="P141" s="96"/>
      <c r="Q141" s="97"/>
      <c r="R141" s="98"/>
      <c r="S141" s="99"/>
      <c r="T141" s="99"/>
      <c r="U141" s="99"/>
      <c r="V141" s="99"/>
      <c r="W141" s="99"/>
      <c r="X141" s="99"/>
      <c r="Y141" s="99"/>
      <c r="Z141" s="99"/>
      <c r="AA141" s="99"/>
      <c r="AB141" s="99"/>
      <c r="AC141" s="100"/>
      <c r="AD141" s="101" t="str">
        <f t="shared" si="22"/>
        <v/>
      </c>
      <c r="AE141" s="102" t="str">
        <f t="shared" si="23"/>
        <v/>
      </c>
      <c r="AF141" s="103" t="str">
        <f t="shared" si="24"/>
        <v/>
      </c>
      <c r="AG141" s="104" t="str">
        <f t="shared" si="25"/>
        <v/>
      </c>
    </row>
    <row r="142" spans="1:33" x14ac:dyDescent="0.25">
      <c r="A142" s="4">
        <f t="shared" si="26"/>
        <v>139</v>
      </c>
      <c r="B142" s="30" t="str">
        <f t="shared" si="27"/>
        <v/>
      </c>
      <c r="C142" s="67" t="str">
        <f t="shared" si="21"/>
        <v/>
      </c>
      <c r="D142" s="105"/>
      <c r="E142" s="106"/>
      <c r="F142" s="106"/>
      <c r="G142" s="106"/>
      <c r="H142" s="107"/>
      <c r="I142" s="106"/>
      <c r="J142" s="106"/>
      <c r="K142" s="106"/>
      <c r="L142" s="106"/>
      <c r="M142" s="106"/>
      <c r="N142" s="108"/>
      <c r="O142" s="108" t="str">
        <f>IF(N142="","",IF('Event Dataset'!N142&lt;='Drop Downs and Assumptions'!$K$2,'Drop Downs and Assumptions'!$L$2,IF(AND('Event Dataset'!N142&gt;='Drop Downs and Assumptions'!$J$3,'Event Dataset'!N142&lt;='Drop Downs and Assumptions'!$K$3),'Drop Downs and Assumptions'!$L$3,IF(AND('Event Dataset'!N142&gt;='Drop Downs and Assumptions'!$J$4,'Event Dataset'!N142&lt;='Drop Downs and Assumptions'!$K$4),'Drop Downs and Assumptions'!$L$4,IF('Event Dataset'!N142&gt;='Drop Downs and Assumptions'!$J$5,'Drop Downs and Assumptions'!$L$5,"")))))</f>
        <v/>
      </c>
      <c r="P142" s="109"/>
      <c r="Q142" s="97"/>
      <c r="R142" s="110"/>
      <c r="S142" s="111"/>
      <c r="T142" s="111"/>
      <c r="U142" s="111"/>
      <c r="V142" s="111"/>
      <c r="W142" s="111"/>
      <c r="X142" s="111"/>
      <c r="Y142" s="111"/>
      <c r="Z142" s="111"/>
      <c r="AA142" s="111"/>
      <c r="AB142" s="111"/>
      <c r="AC142" s="112"/>
      <c r="AD142" s="113" t="str">
        <f t="shared" si="22"/>
        <v/>
      </c>
      <c r="AE142" s="114" t="str">
        <f t="shared" si="23"/>
        <v/>
      </c>
      <c r="AF142" s="115" t="str">
        <f t="shared" si="24"/>
        <v/>
      </c>
      <c r="AG142" s="116" t="str">
        <f t="shared" si="25"/>
        <v/>
      </c>
    </row>
    <row r="143" spans="1:33" x14ac:dyDescent="0.25">
      <c r="A143" s="16">
        <f t="shared" si="26"/>
        <v>140</v>
      </c>
      <c r="B143" s="31" t="str">
        <f t="shared" si="27"/>
        <v/>
      </c>
      <c r="C143" s="66" t="str">
        <f t="shared" si="21"/>
        <v/>
      </c>
      <c r="D143" s="92"/>
      <c r="E143" s="93"/>
      <c r="F143" s="93"/>
      <c r="G143" s="93"/>
      <c r="H143" s="94"/>
      <c r="I143" s="93"/>
      <c r="J143" s="93"/>
      <c r="K143" s="93"/>
      <c r="L143" s="93"/>
      <c r="M143" s="93"/>
      <c r="N143" s="95"/>
      <c r="O143" s="95" t="str">
        <f>IF(N143="","",IF('Event Dataset'!N143&lt;='Drop Downs and Assumptions'!$K$2,'Drop Downs and Assumptions'!$L$2,IF(AND('Event Dataset'!N143&gt;='Drop Downs and Assumptions'!$J$3,'Event Dataset'!N143&lt;='Drop Downs and Assumptions'!$K$3),'Drop Downs and Assumptions'!$L$3,IF(AND('Event Dataset'!N143&gt;='Drop Downs and Assumptions'!$J$4,'Event Dataset'!N143&lt;='Drop Downs and Assumptions'!$K$4),'Drop Downs and Assumptions'!$L$4,IF('Event Dataset'!N143&gt;='Drop Downs and Assumptions'!$J$5,'Drop Downs and Assumptions'!$L$5,"")))))</f>
        <v/>
      </c>
      <c r="P143" s="96"/>
      <c r="Q143" s="97"/>
      <c r="R143" s="98"/>
      <c r="S143" s="99"/>
      <c r="T143" s="99"/>
      <c r="U143" s="99"/>
      <c r="V143" s="99"/>
      <c r="W143" s="99"/>
      <c r="X143" s="99"/>
      <c r="Y143" s="99"/>
      <c r="Z143" s="99"/>
      <c r="AA143" s="99"/>
      <c r="AB143" s="99"/>
      <c r="AC143" s="100"/>
      <c r="AD143" s="101" t="str">
        <f t="shared" si="22"/>
        <v/>
      </c>
      <c r="AE143" s="102" t="str">
        <f t="shared" si="23"/>
        <v/>
      </c>
      <c r="AF143" s="103" t="str">
        <f t="shared" si="24"/>
        <v/>
      </c>
      <c r="AG143" s="104" t="str">
        <f t="shared" si="25"/>
        <v/>
      </c>
    </row>
    <row r="144" spans="1:33" x14ac:dyDescent="0.25">
      <c r="A144" s="4">
        <f t="shared" si="26"/>
        <v>141</v>
      </c>
      <c r="B144" s="30" t="str">
        <f t="shared" si="27"/>
        <v/>
      </c>
      <c r="C144" s="67" t="str">
        <f t="shared" si="21"/>
        <v/>
      </c>
      <c r="D144" s="105"/>
      <c r="E144" s="106"/>
      <c r="F144" s="106"/>
      <c r="G144" s="106"/>
      <c r="H144" s="107"/>
      <c r="I144" s="106"/>
      <c r="J144" s="106"/>
      <c r="K144" s="106"/>
      <c r="L144" s="106"/>
      <c r="M144" s="106"/>
      <c r="N144" s="108"/>
      <c r="O144" s="108" t="str">
        <f>IF(N144="","",IF('Event Dataset'!N144&lt;='Drop Downs and Assumptions'!$K$2,'Drop Downs and Assumptions'!$L$2,IF(AND('Event Dataset'!N144&gt;='Drop Downs and Assumptions'!$J$3,'Event Dataset'!N144&lt;='Drop Downs and Assumptions'!$K$3),'Drop Downs and Assumptions'!$L$3,IF(AND('Event Dataset'!N144&gt;='Drop Downs and Assumptions'!$J$4,'Event Dataset'!N144&lt;='Drop Downs and Assumptions'!$K$4),'Drop Downs and Assumptions'!$L$4,IF('Event Dataset'!N144&gt;='Drop Downs and Assumptions'!$J$5,'Drop Downs and Assumptions'!$L$5,"")))))</f>
        <v/>
      </c>
      <c r="P144" s="109"/>
      <c r="Q144" s="97"/>
      <c r="R144" s="110"/>
      <c r="S144" s="111"/>
      <c r="T144" s="111"/>
      <c r="U144" s="111"/>
      <c r="V144" s="111"/>
      <c r="W144" s="111"/>
      <c r="X144" s="111"/>
      <c r="Y144" s="111"/>
      <c r="Z144" s="111"/>
      <c r="AA144" s="111"/>
      <c r="AB144" s="111"/>
      <c r="AC144" s="112"/>
      <c r="AD144" s="113" t="str">
        <f t="shared" si="22"/>
        <v/>
      </c>
      <c r="AE144" s="114" t="str">
        <f t="shared" si="23"/>
        <v/>
      </c>
      <c r="AF144" s="115" t="str">
        <f t="shared" si="24"/>
        <v/>
      </c>
      <c r="AG144" s="116" t="str">
        <f t="shared" si="25"/>
        <v/>
      </c>
    </row>
    <row r="145" spans="1:33" x14ac:dyDescent="0.25">
      <c r="A145" s="16">
        <f t="shared" si="26"/>
        <v>142</v>
      </c>
      <c r="B145" s="31" t="str">
        <f t="shared" si="27"/>
        <v/>
      </c>
      <c r="C145" s="66" t="str">
        <f t="shared" si="21"/>
        <v/>
      </c>
      <c r="D145" s="92"/>
      <c r="E145" s="93"/>
      <c r="F145" s="93"/>
      <c r="G145" s="93"/>
      <c r="H145" s="94"/>
      <c r="I145" s="93"/>
      <c r="J145" s="93"/>
      <c r="K145" s="93"/>
      <c r="L145" s="93"/>
      <c r="M145" s="93"/>
      <c r="N145" s="95"/>
      <c r="O145" s="95" t="str">
        <f>IF(N145="","",IF('Event Dataset'!N145&lt;='Drop Downs and Assumptions'!$K$2,'Drop Downs and Assumptions'!$L$2,IF(AND('Event Dataset'!N145&gt;='Drop Downs and Assumptions'!$J$3,'Event Dataset'!N145&lt;='Drop Downs and Assumptions'!$K$3),'Drop Downs and Assumptions'!$L$3,IF(AND('Event Dataset'!N145&gt;='Drop Downs and Assumptions'!$J$4,'Event Dataset'!N145&lt;='Drop Downs and Assumptions'!$K$4),'Drop Downs and Assumptions'!$L$4,IF('Event Dataset'!N145&gt;='Drop Downs and Assumptions'!$J$5,'Drop Downs and Assumptions'!$L$5,"")))))</f>
        <v/>
      </c>
      <c r="P145" s="96"/>
      <c r="Q145" s="97"/>
      <c r="R145" s="98"/>
      <c r="S145" s="99"/>
      <c r="T145" s="99"/>
      <c r="U145" s="99"/>
      <c r="V145" s="99"/>
      <c r="W145" s="99"/>
      <c r="X145" s="99"/>
      <c r="Y145" s="99"/>
      <c r="Z145" s="99"/>
      <c r="AA145" s="99"/>
      <c r="AB145" s="99"/>
      <c r="AC145" s="100"/>
      <c r="AD145" s="101" t="str">
        <f t="shared" si="22"/>
        <v/>
      </c>
      <c r="AE145" s="102" t="str">
        <f t="shared" si="23"/>
        <v/>
      </c>
      <c r="AF145" s="103" t="str">
        <f t="shared" si="24"/>
        <v/>
      </c>
      <c r="AG145" s="104" t="str">
        <f t="shared" si="25"/>
        <v/>
      </c>
    </row>
    <row r="146" spans="1:33" x14ac:dyDescent="0.25">
      <c r="A146" s="4">
        <f t="shared" si="26"/>
        <v>143</v>
      </c>
      <c r="B146" s="30" t="str">
        <f t="shared" si="27"/>
        <v/>
      </c>
      <c r="C146" s="67" t="str">
        <f t="shared" si="21"/>
        <v/>
      </c>
      <c r="D146" s="105"/>
      <c r="E146" s="106"/>
      <c r="F146" s="106"/>
      <c r="G146" s="106"/>
      <c r="H146" s="107"/>
      <c r="I146" s="106"/>
      <c r="J146" s="106"/>
      <c r="K146" s="106"/>
      <c r="L146" s="106"/>
      <c r="M146" s="106"/>
      <c r="N146" s="108"/>
      <c r="O146" s="108" t="str">
        <f>IF(N146="","",IF('Event Dataset'!N146&lt;='Drop Downs and Assumptions'!$K$2,'Drop Downs and Assumptions'!$L$2,IF(AND('Event Dataset'!N146&gt;='Drop Downs and Assumptions'!$J$3,'Event Dataset'!N146&lt;='Drop Downs and Assumptions'!$K$3),'Drop Downs and Assumptions'!$L$3,IF(AND('Event Dataset'!N146&gt;='Drop Downs and Assumptions'!$J$4,'Event Dataset'!N146&lt;='Drop Downs and Assumptions'!$K$4),'Drop Downs and Assumptions'!$L$4,IF('Event Dataset'!N146&gt;='Drop Downs and Assumptions'!$J$5,'Drop Downs and Assumptions'!$L$5,"")))))</f>
        <v/>
      </c>
      <c r="P146" s="109"/>
      <c r="Q146" s="97"/>
      <c r="R146" s="110"/>
      <c r="S146" s="111"/>
      <c r="T146" s="111"/>
      <c r="U146" s="111"/>
      <c r="V146" s="111"/>
      <c r="W146" s="111"/>
      <c r="X146" s="111"/>
      <c r="Y146" s="111"/>
      <c r="Z146" s="111"/>
      <c r="AA146" s="111"/>
      <c r="AB146" s="111"/>
      <c r="AC146" s="112"/>
      <c r="AD146" s="113" t="str">
        <f t="shared" si="22"/>
        <v/>
      </c>
      <c r="AE146" s="114" t="str">
        <f t="shared" si="23"/>
        <v/>
      </c>
      <c r="AF146" s="115" t="str">
        <f t="shared" si="24"/>
        <v/>
      </c>
      <c r="AG146" s="116" t="str">
        <f t="shared" si="25"/>
        <v/>
      </c>
    </row>
    <row r="147" spans="1:33" x14ac:dyDescent="0.25">
      <c r="A147" s="16">
        <f t="shared" si="26"/>
        <v>144</v>
      </c>
      <c r="B147" s="31" t="str">
        <f t="shared" si="27"/>
        <v/>
      </c>
      <c r="C147" s="66" t="str">
        <f t="shared" si="21"/>
        <v/>
      </c>
      <c r="D147" s="92"/>
      <c r="E147" s="93"/>
      <c r="F147" s="93"/>
      <c r="G147" s="93"/>
      <c r="H147" s="94"/>
      <c r="I147" s="93"/>
      <c r="J147" s="93"/>
      <c r="K147" s="93"/>
      <c r="L147" s="93"/>
      <c r="M147" s="93"/>
      <c r="N147" s="95"/>
      <c r="O147" s="95" t="str">
        <f>IF(N147="","",IF('Event Dataset'!N147&lt;='Drop Downs and Assumptions'!$K$2,'Drop Downs and Assumptions'!$L$2,IF(AND('Event Dataset'!N147&gt;='Drop Downs and Assumptions'!$J$3,'Event Dataset'!N147&lt;='Drop Downs and Assumptions'!$K$3),'Drop Downs and Assumptions'!$L$3,IF(AND('Event Dataset'!N147&gt;='Drop Downs and Assumptions'!$J$4,'Event Dataset'!N147&lt;='Drop Downs and Assumptions'!$K$4),'Drop Downs and Assumptions'!$L$4,IF('Event Dataset'!N147&gt;='Drop Downs and Assumptions'!$J$5,'Drop Downs and Assumptions'!$L$5,"")))))</f>
        <v/>
      </c>
      <c r="P147" s="96"/>
      <c r="Q147" s="97"/>
      <c r="R147" s="98"/>
      <c r="S147" s="99"/>
      <c r="T147" s="99"/>
      <c r="U147" s="99"/>
      <c r="V147" s="99"/>
      <c r="W147" s="99"/>
      <c r="X147" s="99"/>
      <c r="Y147" s="99"/>
      <c r="Z147" s="99"/>
      <c r="AA147" s="99"/>
      <c r="AB147" s="99"/>
      <c r="AC147" s="100"/>
      <c r="AD147" s="101" t="str">
        <f t="shared" si="22"/>
        <v/>
      </c>
      <c r="AE147" s="102" t="str">
        <f t="shared" si="23"/>
        <v/>
      </c>
      <c r="AF147" s="103" t="str">
        <f t="shared" si="24"/>
        <v/>
      </c>
      <c r="AG147" s="104" t="str">
        <f t="shared" si="25"/>
        <v/>
      </c>
    </row>
    <row r="148" spans="1:33" x14ac:dyDescent="0.25">
      <c r="A148" s="4">
        <f t="shared" si="26"/>
        <v>145</v>
      </c>
      <c r="B148" s="30" t="str">
        <f t="shared" si="27"/>
        <v/>
      </c>
      <c r="C148" s="67" t="str">
        <f t="shared" si="21"/>
        <v/>
      </c>
      <c r="D148" s="105"/>
      <c r="E148" s="106"/>
      <c r="F148" s="106"/>
      <c r="G148" s="106"/>
      <c r="H148" s="107"/>
      <c r="I148" s="106"/>
      <c r="J148" s="106"/>
      <c r="K148" s="106"/>
      <c r="L148" s="106"/>
      <c r="M148" s="106"/>
      <c r="N148" s="108"/>
      <c r="O148" s="108" t="str">
        <f>IF(N148="","",IF('Event Dataset'!N148&lt;='Drop Downs and Assumptions'!$K$2,'Drop Downs and Assumptions'!$L$2,IF(AND('Event Dataset'!N148&gt;='Drop Downs and Assumptions'!$J$3,'Event Dataset'!N148&lt;='Drop Downs and Assumptions'!$K$3),'Drop Downs and Assumptions'!$L$3,IF(AND('Event Dataset'!N148&gt;='Drop Downs and Assumptions'!$J$4,'Event Dataset'!N148&lt;='Drop Downs and Assumptions'!$K$4),'Drop Downs and Assumptions'!$L$4,IF('Event Dataset'!N148&gt;='Drop Downs and Assumptions'!$J$5,'Drop Downs and Assumptions'!$L$5,"")))))</f>
        <v/>
      </c>
      <c r="P148" s="109"/>
      <c r="Q148" s="97"/>
      <c r="R148" s="110"/>
      <c r="S148" s="111"/>
      <c r="T148" s="111"/>
      <c r="U148" s="111"/>
      <c r="V148" s="111"/>
      <c r="W148" s="111"/>
      <c r="X148" s="111"/>
      <c r="Y148" s="111"/>
      <c r="Z148" s="111"/>
      <c r="AA148" s="111"/>
      <c r="AB148" s="111"/>
      <c r="AC148" s="112"/>
      <c r="AD148" s="113" t="str">
        <f t="shared" si="22"/>
        <v/>
      </c>
      <c r="AE148" s="114" t="str">
        <f t="shared" si="23"/>
        <v/>
      </c>
      <c r="AF148" s="115" t="str">
        <f t="shared" si="24"/>
        <v/>
      </c>
      <c r="AG148" s="116" t="str">
        <f t="shared" si="25"/>
        <v/>
      </c>
    </row>
    <row r="149" spans="1:33" x14ac:dyDescent="0.25">
      <c r="A149" s="16">
        <f t="shared" si="26"/>
        <v>146</v>
      </c>
      <c r="B149" s="31" t="str">
        <f t="shared" si="27"/>
        <v/>
      </c>
      <c r="C149" s="66" t="str">
        <f t="shared" si="21"/>
        <v/>
      </c>
      <c r="D149" s="92"/>
      <c r="E149" s="93"/>
      <c r="F149" s="93"/>
      <c r="G149" s="93"/>
      <c r="H149" s="94"/>
      <c r="I149" s="93"/>
      <c r="J149" s="93"/>
      <c r="K149" s="93"/>
      <c r="L149" s="93"/>
      <c r="M149" s="93"/>
      <c r="N149" s="95"/>
      <c r="O149" s="95" t="str">
        <f>IF(N149="","",IF('Event Dataset'!N149&lt;='Drop Downs and Assumptions'!$K$2,'Drop Downs and Assumptions'!$L$2,IF(AND('Event Dataset'!N149&gt;='Drop Downs and Assumptions'!$J$3,'Event Dataset'!N149&lt;='Drop Downs and Assumptions'!$K$3),'Drop Downs and Assumptions'!$L$3,IF(AND('Event Dataset'!N149&gt;='Drop Downs and Assumptions'!$J$4,'Event Dataset'!N149&lt;='Drop Downs and Assumptions'!$K$4),'Drop Downs and Assumptions'!$L$4,IF('Event Dataset'!N149&gt;='Drop Downs and Assumptions'!$J$5,'Drop Downs and Assumptions'!$L$5,"")))))</f>
        <v/>
      </c>
      <c r="P149" s="96"/>
      <c r="Q149" s="97"/>
      <c r="R149" s="98"/>
      <c r="S149" s="99"/>
      <c r="T149" s="99"/>
      <c r="U149" s="99"/>
      <c r="V149" s="99"/>
      <c r="W149" s="99"/>
      <c r="X149" s="99"/>
      <c r="Y149" s="99"/>
      <c r="Z149" s="99"/>
      <c r="AA149" s="99"/>
      <c r="AB149" s="99"/>
      <c r="AC149" s="100"/>
      <c r="AD149" s="101" t="str">
        <f t="shared" si="22"/>
        <v/>
      </c>
      <c r="AE149" s="102" t="str">
        <f t="shared" si="23"/>
        <v/>
      </c>
      <c r="AF149" s="103" t="str">
        <f t="shared" si="24"/>
        <v/>
      </c>
      <c r="AG149" s="104" t="str">
        <f t="shared" si="25"/>
        <v/>
      </c>
    </row>
    <row r="150" spans="1:33" x14ac:dyDescent="0.25">
      <c r="A150" s="4">
        <f t="shared" si="26"/>
        <v>147</v>
      </c>
      <c r="B150" s="30" t="str">
        <f t="shared" si="27"/>
        <v/>
      </c>
      <c r="C150" s="67" t="str">
        <f t="shared" si="21"/>
        <v/>
      </c>
      <c r="D150" s="105"/>
      <c r="E150" s="106"/>
      <c r="F150" s="106"/>
      <c r="G150" s="106"/>
      <c r="H150" s="107"/>
      <c r="I150" s="106"/>
      <c r="J150" s="106"/>
      <c r="K150" s="106"/>
      <c r="L150" s="106"/>
      <c r="M150" s="106"/>
      <c r="N150" s="108"/>
      <c r="O150" s="108" t="str">
        <f>IF(N150="","",IF('Event Dataset'!N150&lt;='Drop Downs and Assumptions'!$K$2,'Drop Downs and Assumptions'!$L$2,IF(AND('Event Dataset'!N150&gt;='Drop Downs and Assumptions'!$J$3,'Event Dataset'!N150&lt;='Drop Downs and Assumptions'!$K$3),'Drop Downs and Assumptions'!$L$3,IF(AND('Event Dataset'!N150&gt;='Drop Downs and Assumptions'!$J$4,'Event Dataset'!N150&lt;='Drop Downs and Assumptions'!$K$4),'Drop Downs and Assumptions'!$L$4,IF('Event Dataset'!N150&gt;='Drop Downs and Assumptions'!$J$5,'Drop Downs and Assumptions'!$L$5,"")))))</f>
        <v/>
      </c>
      <c r="P150" s="109"/>
      <c r="Q150" s="97"/>
      <c r="R150" s="110"/>
      <c r="S150" s="111"/>
      <c r="T150" s="111"/>
      <c r="U150" s="111"/>
      <c r="V150" s="111"/>
      <c r="W150" s="111"/>
      <c r="X150" s="111"/>
      <c r="Y150" s="111"/>
      <c r="Z150" s="111"/>
      <c r="AA150" s="111"/>
      <c r="AB150" s="111"/>
      <c r="AC150" s="112"/>
      <c r="AD150" s="113" t="str">
        <f t="shared" si="22"/>
        <v/>
      </c>
      <c r="AE150" s="114" t="str">
        <f t="shared" si="23"/>
        <v/>
      </c>
      <c r="AF150" s="115" t="str">
        <f t="shared" si="24"/>
        <v/>
      </c>
      <c r="AG150" s="116" t="str">
        <f t="shared" si="25"/>
        <v/>
      </c>
    </row>
    <row r="151" spans="1:33" x14ac:dyDescent="0.25">
      <c r="A151" s="16">
        <f t="shared" si="26"/>
        <v>148</v>
      </c>
      <c r="B151" s="31" t="str">
        <f t="shared" si="27"/>
        <v/>
      </c>
      <c r="C151" s="66" t="str">
        <f t="shared" si="21"/>
        <v/>
      </c>
      <c r="D151" s="92"/>
      <c r="E151" s="93"/>
      <c r="F151" s="93"/>
      <c r="G151" s="93"/>
      <c r="H151" s="94"/>
      <c r="I151" s="93"/>
      <c r="J151" s="93"/>
      <c r="K151" s="93"/>
      <c r="L151" s="93"/>
      <c r="M151" s="93"/>
      <c r="N151" s="95"/>
      <c r="O151" s="95" t="str">
        <f>IF(N151="","",IF('Event Dataset'!N151&lt;='Drop Downs and Assumptions'!$K$2,'Drop Downs and Assumptions'!$L$2,IF(AND('Event Dataset'!N151&gt;='Drop Downs and Assumptions'!$J$3,'Event Dataset'!N151&lt;='Drop Downs and Assumptions'!$K$3),'Drop Downs and Assumptions'!$L$3,IF(AND('Event Dataset'!N151&gt;='Drop Downs and Assumptions'!$J$4,'Event Dataset'!N151&lt;='Drop Downs and Assumptions'!$K$4),'Drop Downs and Assumptions'!$L$4,IF('Event Dataset'!N151&gt;='Drop Downs and Assumptions'!$J$5,'Drop Downs and Assumptions'!$L$5,"")))))</f>
        <v/>
      </c>
      <c r="P151" s="96"/>
      <c r="Q151" s="97"/>
      <c r="R151" s="98"/>
      <c r="S151" s="99"/>
      <c r="T151" s="99"/>
      <c r="U151" s="99"/>
      <c r="V151" s="99"/>
      <c r="W151" s="99"/>
      <c r="X151" s="99"/>
      <c r="Y151" s="99"/>
      <c r="Z151" s="99"/>
      <c r="AA151" s="99"/>
      <c r="AB151" s="99"/>
      <c r="AC151" s="100"/>
      <c r="AD151" s="101" t="str">
        <f t="shared" si="22"/>
        <v/>
      </c>
      <c r="AE151" s="102" t="str">
        <f t="shared" si="23"/>
        <v/>
      </c>
      <c r="AF151" s="103" t="str">
        <f t="shared" si="24"/>
        <v/>
      </c>
      <c r="AG151" s="104" t="str">
        <f t="shared" si="25"/>
        <v/>
      </c>
    </row>
    <row r="152" spans="1:33" x14ac:dyDescent="0.25">
      <c r="A152" s="4">
        <f t="shared" si="26"/>
        <v>149</v>
      </c>
      <c r="B152" s="30" t="str">
        <f t="shared" si="27"/>
        <v/>
      </c>
      <c r="C152" s="67" t="str">
        <f t="shared" si="21"/>
        <v/>
      </c>
      <c r="D152" s="105"/>
      <c r="E152" s="106"/>
      <c r="F152" s="106"/>
      <c r="G152" s="106"/>
      <c r="H152" s="107"/>
      <c r="I152" s="106"/>
      <c r="J152" s="106"/>
      <c r="K152" s="106"/>
      <c r="L152" s="106"/>
      <c r="M152" s="106"/>
      <c r="N152" s="108"/>
      <c r="O152" s="108" t="str">
        <f>IF(N152="","",IF('Event Dataset'!N152&lt;='Drop Downs and Assumptions'!$K$2,'Drop Downs and Assumptions'!$L$2,IF(AND('Event Dataset'!N152&gt;='Drop Downs and Assumptions'!$J$3,'Event Dataset'!N152&lt;='Drop Downs and Assumptions'!$K$3),'Drop Downs and Assumptions'!$L$3,IF(AND('Event Dataset'!N152&gt;='Drop Downs and Assumptions'!$J$4,'Event Dataset'!N152&lt;='Drop Downs and Assumptions'!$K$4),'Drop Downs and Assumptions'!$L$4,IF('Event Dataset'!N152&gt;='Drop Downs and Assumptions'!$J$5,'Drop Downs and Assumptions'!$L$5,"")))))</f>
        <v/>
      </c>
      <c r="P152" s="109"/>
      <c r="Q152" s="97"/>
      <c r="R152" s="110"/>
      <c r="S152" s="111"/>
      <c r="T152" s="111"/>
      <c r="U152" s="111"/>
      <c r="V152" s="111"/>
      <c r="W152" s="111"/>
      <c r="X152" s="111"/>
      <c r="Y152" s="111"/>
      <c r="Z152" s="111"/>
      <c r="AA152" s="111"/>
      <c r="AB152" s="111"/>
      <c r="AC152" s="112"/>
      <c r="AD152" s="113" t="str">
        <f t="shared" si="22"/>
        <v/>
      </c>
      <c r="AE152" s="114" t="str">
        <f t="shared" si="23"/>
        <v/>
      </c>
      <c r="AF152" s="115" t="str">
        <f t="shared" si="24"/>
        <v/>
      </c>
      <c r="AG152" s="116" t="str">
        <f t="shared" si="25"/>
        <v/>
      </c>
    </row>
    <row r="153" spans="1:33" x14ac:dyDescent="0.25">
      <c r="A153" s="16">
        <f t="shared" si="26"/>
        <v>150</v>
      </c>
      <c r="B153" s="31" t="str">
        <f t="shared" si="27"/>
        <v/>
      </c>
      <c r="C153" s="66" t="str">
        <f t="shared" si="21"/>
        <v/>
      </c>
      <c r="D153" s="92"/>
      <c r="E153" s="93"/>
      <c r="F153" s="93"/>
      <c r="G153" s="93"/>
      <c r="H153" s="94"/>
      <c r="I153" s="93"/>
      <c r="J153" s="93"/>
      <c r="K153" s="93"/>
      <c r="L153" s="93"/>
      <c r="M153" s="93"/>
      <c r="N153" s="95"/>
      <c r="O153" s="95" t="str">
        <f>IF(N153="","",IF('Event Dataset'!N153&lt;='Drop Downs and Assumptions'!$K$2,'Drop Downs and Assumptions'!$L$2,IF(AND('Event Dataset'!N153&gt;='Drop Downs and Assumptions'!$J$3,'Event Dataset'!N153&lt;='Drop Downs and Assumptions'!$K$3),'Drop Downs and Assumptions'!$L$3,IF(AND('Event Dataset'!N153&gt;='Drop Downs and Assumptions'!$J$4,'Event Dataset'!N153&lt;='Drop Downs and Assumptions'!$K$4),'Drop Downs and Assumptions'!$L$4,IF('Event Dataset'!N153&gt;='Drop Downs and Assumptions'!$J$5,'Drop Downs and Assumptions'!$L$5,"")))))</f>
        <v/>
      </c>
      <c r="P153" s="96"/>
      <c r="Q153" s="97"/>
      <c r="R153" s="98"/>
      <c r="S153" s="99"/>
      <c r="T153" s="99"/>
      <c r="U153" s="99"/>
      <c r="V153" s="99"/>
      <c r="W153" s="99"/>
      <c r="X153" s="99"/>
      <c r="Y153" s="99"/>
      <c r="Z153" s="99"/>
      <c r="AA153" s="99"/>
      <c r="AB153" s="99"/>
      <c r="AC153" s="100"/>
      <c r="AD153" s="101" t="str">
        <f t="shared" si="22"/>
        <v/>
      </c>
      <c r="AE153" s="102" t="str">
        <f t="shared" si="23"/>
        <v/>
      </c>
      <c r="AF153" s="103" t="str">
        <f t="shared" si="24"/>
        <v/>
      </c>
      <c r="AG153" s="104" t="str">
        <f t="shared" si="25"/>
        <v/>
      </c>
    </row>
    <row r="154" spans="1:33" x14ac:dyDescent="0.25">
      <c r="A154" s="4">
        <f t="shared" si="26"/>
        <v>151</v>
      </c>
      <c r="B154" s="30" t="str">
        <f t="shared" si="27"/>
        <v/>
      </c>
      <c r="C154" s="67" t="str">
        <f t="shared" si="21"/>
        <v/>
      </c>
      <c r="D154" s="105"/>
      <c r="E154" s="106"/>
      <c r="F154" s="106"/>
      <c r="G154" s="106"/>
      <c r="H154" s="107"/>
      <c r="I154" s="106"/>
      <c r="J154" s="106"/>
      <c r="K154" s="106"/>
      <c r="L154" s="106"/>
      <c r="M154" s="106"/>
      <c r="N154" s="108"/>
      <c r="O154" s="108" t="str">
        <f>IF(N154="","",IF('Event Dataset'!N154&lt;='Drop Downs and Assumptions'!$K$2,'Drop Downs and Assumptions'!$L$2,IF(AND('Event Dataset'!N154&gt;='Drop Downs and Assumptions'!$J$3,'Event Dataset'!N154&lt;='Drop Downs and Assumptions'!$K$3),'Drop Downs and Assumptions'!$L$3,IF(AND('Event Dataset'!N154&gt;='Drop Downs and Assumptions'!$J$4,'Event Dataset'!N154&lt;='Drop Downs and Assumptions'!$K$4),'Drop Downs and Assumptions'!$L$4,IF('Event Dataset'!N154&gt;='Drop Downs and Assumptions'!$J$5,'Drop Downs and Assumptions'!$L$5,"")))))</f>
        <v/>
      </c>
      <c r="P154" s="109"/>
      <c r="Q154" s="97"/>
      <c r="R154" s="110"/>
      <c r="S154" s="111"/>
      <c r="T154" s="111"/>
      <c r="U154" s="111"/>
      <c r="V154" s="111"/>
      <c r="W154" s="111"/>
      <c r="X154" s="111"/>
      <c r="Y154" s="111"/>
      <c r="Z154" s="111"/>
      <c r="AA154" s="111"/>
      <c r="AB154" s="111"/>
      <c r="AC154" s="112"/>
      <c r="AD154" s="113" t="str">
        <f t="shared" si="22"/>
        <v/>
      </c>
      <c r="AE154" s="114" t="str">
        <f t="shared" si="23"/>
        <v/>
      </c>
      <c r="AF154" s="115" t="str">
        <f t="shared" si="24"/>
        <v/>
      </c>
      <c r="AG154" s="116" t="str">
        <f t="shared" si="25"/>
        <v/>
      </c>
    </row>
    <row r="155" spans="1:33" x14ac:dyDescent="0.25">
      <c r="A155" s="16">
        <f t="shared" si="26"/>
        <v>152</v>
      </c>
      <c r="B155" s="31" t="str">
        <f t="shared" si="27"/>
        <v/>
      </c>
      <c r="C155" s="66" t="str">
        <f t="shared" si="21"/>
        <v/>
      </c>
      <c r="D155" s="92"/>
      <c r="E155" s="93"/>
      <c r="F155" s="93"/>
      <c r="G155" s="93"/>
      <c r="H155" s="94"/>
      <c r="I155" s="93"/>
      <c r="J155" s="93"/>
      <c r="K155" s="93"/>
      <c r="L155" s="93"/>
      <c r="M155" s="93"/>
      <c r="N155" s="95"/>
      <c r="O155" s="95" t="str">
        <f>IF(N155="","",IF('Event Dataset'!N155&lt;='Drop Downs and Assumptions'!$K$2,'Drop Downs and Assumptions'!$L$2,IF(AND('Event Dataset'!N155&gt;='Drop Downs and Assumptions'!$J$3,'Event Dataset'!N155&lt;='Drop Downs and Assumptions'!$K$3),'Drop Downs and Assumptions'!$L$3,IF(AND('Event Dataset'!N155&gt;='Drop Downs and Assumptions'!$J$4,'Event Dataset'!N155&lt;='Drop Downs and Assumptions'!$K$4),'Drop Downs and Assumptions'!$L$4,IF('Event Dataset'!N155&gt;='Drop Downs and Assumptions'!$J$5,'Drop Downs and Assumptions'!$L$5,"")))))</f>
        <v/>
      </c>
      <c r="P155" s="96"/>
      <c r="Q155" s="97"/>
      <c r="R155" s="98"/>
      <c r="S155" s="99"/>
      <c r="T155" s="99"/>
      <c r="U155" s="99"/>
      <c r="V155" s="99"/>
      <c r="W155" s="99"/>
      <c r="X155" s="99"/>
      <c r="Y155" s="99"/>
      <c r="Z155" s="99"/>
      <c r="AA155" s="99"/>
      <c r="AB155" s="99"/>
      <c r="AC155" s="100"/>
      <c r="AD155" s="101" t="str">
        <f t="shared" si="22"/>
        <v/>
      </c>
      <c r="AE155" s="102" t="str">
        <f t="shared" si="23"/>
        <v/>
      </c>
      <c r="AF155" s="103" t="str">
        <f t="shared" si="24"/>
        <v/>
      </c>
      <c r="AG155" s="104" t="str">
        <f t="shared" si="25"/>
        <v/>
      </c>
    </row>
    <row r="156" spans="1:33" x14ac:dyDescent="0.25">
      <c r="A156" s="4">
        <f t="shared" si="26"/>
        <v>153</v>
      </c>
      <c r="B156" s="30" t="str">
        <f t="shared" si="27"/>
        <v/>
      </c>
      <c r="C156" s="67" t="str">
        <f t="shared" si="21"/>
        <v/>
      </c>
      <c r="D156" s="105"/>
      <c r="E156" s="106"/>
      <c r="F156" s="106"/>
      <c r="G156" s="106"/>
      <c r="H156" s="107"/>
      <c r="I156" s="106"/>
      <c r="J156" s="106"/>
      <c r="K156" s="106"/>
      <c r="L156" s="106"/>
      <c r="M156" s="106"/>
      <c r="N156" s="108"/>
      <c r="O156" s="108" t="str">
        <f>IF(N156="","",IF('Event Dataset'!N156&lt;='Drop Downs and Assumptions'!$K$2,'Drop Downs and Assumptions'!$L$2,IF(AND('Event Dataset'!N156&gt;='Drop Downs and Assumptions'!$J$3,'Event Dataset'!N156&lt;='Drop Downs and Assumptions'!$K$3),'Drop Downs and Assumptions'!$L$3,IF(AND('Event Dataset'!N156&gt;='Drop Downs and Assumptions'!$J$4,'Event Dataset'!N156&lt;='Drop Downs and Assumptions'!$K$4),'Drop Downs and Assumptions'!$L$4,IF('Event Dataset'!N156&gt;='Drop Downs and Assumptions'!$J$5,'Drop Downs and Assumptions'!$L$5,"")))))</f>
        <v/>
      </c>
      <c r="P156" s="109"/>
      <c r="Q156" s="97"/>
      <c r="R156" s="110"/>
      <c r="S156" s="111"/>
      <c r="T156" s="111"/>
      <c r="U156" s="111"/>
      <c r="V156" s="111"/>
      <c r="W156" s="111"/>
      <c r="X156" s="111"/>
      <c r="Y156" s="111"/>
      <c r="Z156" s="111"/>
      <c r="AA156" s="111"/>
      <c r="AB156" s="111"/>
      <c r="AC156" s="112"/>
      <c r="AD156" s="113" t="str">
        <f t="shared" si="22"/>
        <v/>
      </c>
      <c r="AE156" s="114" t="str">
        <f t="shared" si="23"/>
        <v/>
      </c>
      <c r="AF156" s="115" t="str">
        <f t="shared" si="24"/>
        <v/>
      </c>
      <c r="AG156" s="116" t="str">
        <f t="shared" si="25"/>
        <v/>
      </c>
    </row>
    <row r="157" spans="1:33" x14ac:dyDescent="0.25">
      <c r="A157" s="16">
        <f t="shared" si="26"/>
        <v>154</v>
      </c>
      <c r="B157" s="31" t="str">
        <f t="shared" si="27"/>
        <v/>
      </c>
      <c r="C157" s="66" t="str">
        <f t="shared" si="21"/>
        <v/>
      </c>
      <c r="D157" s="92"/>
      <c r="E157" s="93"/>
      <c r="F157" s="93"/>
      <c r="G157" s="93"/>
      <c r="H157" s="94"/>
      <c r="I157" s="93"/>
      <c r="J157" s="93"/>
      <c r="K157" s="93"/>
      <c r="L157" s="93"/>
      <c r="M157" s="93"/>
      <c r="N157" s="95"/>
      <c r="O157" s="95" t="str">
        <f>IF(N157="","",IF('Event Dataset'!N157&lt;='Drop Downs and Assumptions'!$K$2,'Drop Downs and Assumptions'!$L$2,IF(AND('Event Dataset'!N157&gt;='Drop Downs and Assumptions'!$J$3,'Event Dataset'!N157&lt;='Drop Downs and Assumptions'!$K$3),'Drop Downs and Assumptions'!$L$3,IF(AND('Event Dataset'!N157&gt;='Drop Downs and Assumptions'!$J$4,'Event Dataset'!N157&lt;='Drop Downs and Assumptions'!$K$4),'Drop Downs and Assumptions'!$L$4,IF('Event Dataset'!N157&gt;='Drop Downs and Assumptions'!$J$5,'Drop Downs and Assumptions'!$L$5,"")))))</f>
        <v/>
      </c>
      <c r="P157" s="96"/>
      <c r="Q157" s="97"/>
      <c r="R157" s="98"/>
      <c r="S157" s="99"/>
      <c r="T157" s="99"/>
      <c r="U157" s="99"/>
      <c r="V157" s="99"/>
      <c r="W157" s="99"/>
      <c r="X157" s="99"/>
      <c r="Y157" s="99"/>
      <c r="Z157" s="99"/>
      <c r="AA157" s="99"/>
      <c r="AB157" s="99"/>
      <c r="AC157" s="100"/>
      <c r="AD157" s="101" t="str">
        <f t="shared" si="22"/>
        <v/>
      </c>
      <c r="AE157" s="102" t="str">
        <f t="shared" si="23"/>
        <v/>
      </c>
      <c r="AF157" s="103" t="str">
        <f t="shared" si="24"/>
        <v/>
      </c>
      <c r="AG157" s="104" t="str">
        <f t="shared" si="25"/>
        <v/>
      </c>
    </row>
    <row r="158" spans="1:33" x14ac:dyDescent="0.25">
      <c r="A158" s="4">
        <f t="shared" si="26"/>
        <v>155</v>
      </c>
      <c r="B158" s="30" t="str">
        <f t="shared" si="27"/>
        <v/>
      </c>
      <c r="C158" s="67" t="str">
        <f t="shared" si="21"/>
        <v/>
      </c>
      <c r="D158" s="105"/>
      <c r="E158" s="106"/>
      <c r="F158" s="106"/>
      <c r="G158" s="106"/>
      <c r="H158" s="107"/>
      <c r="I158" s="106"/>
      <c r="J158" s="106"/>
      <c r="K158" s="106"/>
      <c r="L158" s="106"/>
      <c r="M158" s="106"/>
      <c r="N158" s="108"/>
      <c r="O158" s="108" t="str">
        <f>IF(N158="","",IF('Event Dataset'!N158&lt;='Drop Downs and Assumptions'!$K$2,'Drop Downs and Assumptions'!$L$2,IF(AND('Event Dataset'!N158&gt;='Drop Downs and Assumptions'!$J$3,'Event Dataset'!N158&lt;='Drop Downs and Assumptions'!$K$3),'Drop Downs and Assumptions'!$L$3,IF(AND('Event Dataset'!N158&gt;='Drop Downs and Assumptions'!$J$4,'Event Dataset'!N158&lt;='Drop Downs and Assumptions'!$K$4),'Drop Downs and Assumptions'!$L$4,IF('Event Dataset'!N158&gt;='Drop Downs and Assumptions'!$J$5,'Drop Downs and Assumptions'!$L$5,"")))))</f>
        <v/>
      </c>
      <c r="P158" s="109"/>
      <c r="Q158" s="97"/>
      <c r="R158" s="110"/>
      <c r="S158" s="111"/>
      <c r="T158" s="111"/>
      <c r="U158" s="111"/>
      <c r="V158" s="111"/>
      <c r="W158" s="111"/>
      <c r="X158" s="111"/>
      <c r="Y158" s="111"/>
      <c r="Z158" s="111"/>
      <c r="AA158" s="111"/>
      <c r="AB158" s="111"/>
      <c r="AC158" s="112"/>
      <c r="AD158" s="113" t="str">
        <f t="shared" si="22"/>
        <v/>
      </c>
      <c r="AE158" s="114" t="str">
        <f t="shared" si="23"/>
        <v/>
      </c>
      <c r="AF158" s="115" t="str">
        <f t="shared" si="24"/>
        <v/>
      </c>
      <c r="AG158" s="116" t="str">
        <f t="shared" si="25"/>
        <v/>
      </c>
    </row>
    <row r="159" spans="1:33" x14ac:dyDescent="0.25">
      <c r="A159" s="16">
        <f t="shared" si="26"/>
        <v>156</v>
      </c>
      <c r="B159" s="31" t="str">
        <f t="shared" si="27"/>
        <v/>
      </c>
      <c r="C159" s="66" t="str">
        <f t="shared" si="21"/>
        <v/>
      </c>
      <c r="D159" s="92"/>
      <c r="E159" s="93"/>
      <c r="F159" s="93"/>
      <c r="G159" s="93"/>
      <c r="H159" s="94"/>
      <c r="I159" s="93"/>
      <c r="J159" s="93"/>
      <c r="K159" s="93"/>
      <c r="L159" s="93"/>
      <c r="M159" s="93"/>
      <c r="N159" s="95"/>
      <c r="O159" s="95" t="str">
        <f>IF(N159="","",IF('Event Dataset'!N159&lt;='Drop Downs and Assumptions'!$K$2,'Drop Downs and Assumptions'!$L$2,IF(AND('Event Dataset'!N159&gt;='Drop Downs and Assumptions'!$J$3,'Event Dataset'!N159&lt;='Drop Downs and Assumptions'!$K$3),'Drop Downs and Assumptions'!$L$3,IF(AND('Event Dataset'!N159&gt;='Drop Downs and Assumptions'!$J$4,'Event Dataset'!N159&lt;='Drop Downs and Assumptions'!$K$4),'Drop Downs and Assumptions'!$L$4,IF('Event Dataset'!N159&gt;='Drop Downs and Assumptions'!$J$5,'Drop Downs and Assumptions'!$L$5,"")))))</f>
        <v/>
      </c>
      <c r="P159" s="96"/>
      <c r="Q159" s="97"/>
      <c r="R159" s="98"/>
      <c r="S159" s="99"/>
      <c r="T159" s="99"/>
      <c r="U159" s="99"/>
      <c r="V159" s="99"/>
      <c r="W159" s="99"/>
      <c r="X159" s="99"/>
      <c r="Y159" s="99"/>
      <c r="Z159" s="99"/>
      <c r="AA159" s="99"/>
      <c r="AB159" s="99"/>
      <c r="AC159" s="100"/>
      <c r="AD159" s="101" t="str">
        <f t="shared" si="22"/>
        <v/>
      </c>
      <c r="AE159" s="102" t="str">
        <f t="shared" si="23"/>
        <v/>
      </c>
      <c r="AF159" s="103" t="str">
        <f t="shared" si="24"/>
        <v/>
      </c>
      <c r="AG159" s="104" t="str">
        <f t="shared" si="25"/>
        <v/>
      </c>
    </row>
    <row r="160" spans="1:33" x14ac:dyDescent="0.25">
      <c r="A160" s="4">
        <f t="shared" si="26"/>
        <v>157</v>
      </c>
      <c r="B160" s="30" t="str">
        <f t="shared" si="27"/>
        <v/>
      </c>
      <c r="C160" s="67" t="str">
        <f t="shared" si="21"/>
        <v/>
      </c>
      <c r="D160" s="105"/>
      <c r="E160" s="106"/>
      <c r="F160" s="106"/>
      <c r="G160" s="106"/>
      <c r="H160" s="107"/>
      <c r="I160" s="106"/>
      <c r="J160" s="106"/>
      <c r="K160" s="106"/>
      <c r="L160" s="106"/>
      <c r="M160" s="106"/>
      <c r="N160" s="108"/>
      <c r="O160" s="108" t="str">
        <f>IF(N160="","",IF('Event Dataset'!N160&lt;='Drop Downs and Assumptions'!$K$2,'Drop Downs and Assumptions'!$L$2,IF(AND('Event Dataset'!N160&gt;='Drop Downs and Assumptions'!$J$3,'Event Dataset'!N160&lt;='Drop Downs and Assumptions'!$K$3),'Drop Downs and Assumptions'!$L$3,IF(AND('Event Dataset'!N160&gt;='Drop Downs and Assumptions'!$J$4,'Event Dataset'!N160&lt;='Drop Downs and Assumptions'!$K$4),'Drop Downs and Assumptions'!$L$4,IF('Event Dataset'!N160&gt;='Drop Downs and Assumptions'!$J$5,'Drop Downs and Assumptions'!$L$5,"")))))</f>
        <v/>
      </c>
      <c r="P160" s="109"/>
      <c r="Q160" s="97"/>
      <c r="R160" s="110"/>
      <c r="S160" s="111"/>
      <c r="T160" s="111"/>
      <c r="U160" s="111"/>
      <c r="V160" s="111"/>
      <c r="W160" s="111"/>
      <c r="X160" s="111"/>
      <c r="Y160" s="111"/>
      <c r="Z160" s="111"/>
      <c r="AA160" s="111"/>
      <c r="AB160" s="111"/>
      <c r="AC160" s="112"/>
      <c r="AD160" s="113" t="str">
        <f t="shared" si="22"/>
        <v/>
      </c>
      <c r="AE160" s="114" t="str">
        <f t="shared" si="23"/>
        <v/>
      </c>
      <c r="AF160" s="115" t="str">
        <f t="shared" si="24"/>
        <v/>
      </c>
      <c r="AG160" s="116" t="str">
        <f t="shared" si="25"/>
        <v/>
      </c>
    </row>
    <row r="161" spans="1:33" x14ac:dyDescent="0.25">
      <c r="A161" s="16">
        <f t="shared" si="26"/>
        <v>158</v>
      </c>
      <c r="B161" s="31" t="str">
        <f t="shared" si="27"/>
        <v/>
      </c>
      <c r="C161" s="66" t="str">
        <f t="shared" si="21"/>
        <v/>
      </c>
      <c r="D161" s="92"/>
      <c r="E161" s="93"/>
      <c r="F161" s="93"/>
      <c r="G161" s="93"/>
      <c r="H161" s="94"/>
      <c r="I161" s="93"/>
      <c r="J161" s="93"/>
      <c r="K161" s="93"/>
      <c r="L161" s="93"/>
      <c r="M161" s="93"/>
      <c r="N161" s="95"/>
      <c r="O161" s="95" t="str">
        <f>IF(N161="","",IF('Event Dataset'!N161&lt;='Drop Downs and Assumptions'!$K$2,'Drop Downs and Assumptions'!$L$2,IF(AND('Event Dataset'!N161&gt;='Drop Downs and Assumptions'!$J$3,'Event Dataset'!N161&lt;='Drop Downs and Assumptions'!$K$3),'Drop Downs and Assumptions'!$L$3,IF(AND('Event Dataset'!N161&gt;='Drop Downs and Assumptions'!$J$4,'Event Dataset'!N161&lt;='Drop Downs and Assumptions'!$K$4),'Drop Downs and Assumptions'!$L$4,IF('Event Dataset'!N161&gt;='Drop Downs and Assumptions'!$J$5,'Drop Downs and Assumptions'!$L$5,"")))))</f>
        <v/>
      </c>
      <c r="P161" s="96"/>
      <c r="Q161" s="97"/>
      <c r="R161" s="98"/>
      <c r="S161" s="99"/>
      <c r="T161" s="99"/>
      <c r="U161" s="99"/>
      <c r="V161" s="99"/>
      <c r="W161" s="99"/>
      <c r="X161" s="99"/>
      <c r="Y161" s="99"/>
      <c r="Z161" s="99"/>
      <c r="AA161" s="99"/>
      <c r="AB161" s="99"/>
      <c r="AC161" s="100"/>
      <c r="AD161" s="101" t="str">
        <f t="shared" si="22"/>
        <v/>
      </c>
      <c r="AE161" s="102" t="str">
        <f t="shared" si="23"/>
        <v/>
      </c>
      <c r="AF161" s="103" t="str">
        <f t="shared" si="24"/>
        <v/>
      </c>
      <c r="AG161" s="104" t="str">
        <f t="shared" si="25"/>
        <v/>
      </c>
    </row>
    <row r="162" spans="1:33" x14ac:dyDescent="0.25">
      <c r="A162" s="4">
        <f t="shared" si="26"/>
        <v>159</v>
      </c>
      <c r="B162" s="30" t="str">
        <f t="shared" si="27"/>
        <v/>
      </c>
      <c r="C162" s="67" t="str">
        <f t="shared" si="21"/>
        <v/>
      </c>
      <c r="D162" s="105"/>
      <c r="E162" s="106"/>
      <c r="F162" s="106"/>
      <c r="G162" s="106"/>
      <c r="H162" s="107"/>
      <c r="I162" s="106"/>
      <c r="J162" s="106"/>
      <c r="K162" s="106"/>
      <c r="L162" s="106"/>
      <c r="M162" s="106"/>
      <c r="N162" s="108"/>
      <c r="O162" s="108" t="str">
        <f>IF(N162="","",IF('Event Dataset'!N162&lt;='Drop Downs and Assumptions'!$K$2,'Drop Downs and Assumptions'!$L$2,IF(AND('Event Dataset'!N162&gt;='Drop Downs and Assumptions'!$J$3,'Event Dataset'!N162&lt;='Drop Downs and Assumptions'!$K$3),'Drop Downs and Assumptions'!$L$3,IF(AND('Event Dataset'!N162&gt;='Drop Downs and Assumptions'!$J$4,'Event Dataset'!N162&lt;='Drop Downs and Assumptions'!$K$4),'Drop Downs and Assumptions'!$L$4,IF('Event Dataset'!N162&gt;='Drop Downs and Assumptions'!$J$5,'Drop Downs and Assumptions'!$L$5,"")))))</f>
        <v/>
      </c>
      <c r="P162" s="109"/>
      <c r="Q162" s="97"/>
      <c r="R162" s="110"/>
      <c r="S162" s="111"/>
      <c r="T162" s="111"/>
      <c r="U162" s="111"/>
      <c r="V162" s="111"/>
      <c r="W162" s="111"/>
      <c r="X162" s="111"/>
      <c r="Y162" s="111"/>
      <c r="Z162" s="111"/>
      <c r="AA162" s="111"/>
      <c r="AB162" s="111"/>
      <c r="AC162" s="112"/>
      <c r="AD162" s="113" t="str">
        <f t="shared" si="22"/>
        <v/>
      </c>
      <c r="AE162" s="114" t="str">
        <f t="shared" si="23"/>
        <v/>
      </c>
      <c r="AF162" s="115" t="str">
        <f t="shared" si="24"/>
        <v/>
      </c>
      <c r="AG162" s="116" t="str">
        <f t="shared" si="25"/>
        <v/>
      </c>
    </row>
    <row r="163" spans="1:33" x14ac:dyDescent="0.25">
      <c r="A163" s="16">
        <f t="shared" si="26"/>
        <v>160</v>
      </c>
      <c r="B163" s="31" t="str">
        <f t="shared" si="27"/>
        <v/>
      </c>
      <c r="C163" s="66" t="str">
        <f t="shared" si="21"/>
        <v/>
      </c>
      <c r="D163" s="92"/>
      <c r="E163" s="93"/>
      <c r="F163" s="93"/>
      <c r="G163" s="93"/>
      <c r="H163" s="94"/>
      <c r="I163" s="93"/>
      <c r="J163" s="93"/>
      <c r="K163" s="93"/>
      <c r="L163" s="93"/>
      <c r="M163" s="93"/>
      <c r="N163" s="95"/>
      <c r="O163" s="95" t="str">
        <f>IF(N163="","",IF('Event Dataset'!N163&lt;='Drop Downs and Assumptions'!$K$2,'Drop Downs and Assumptions'!$L$2,IF(AND('Event Dataset'!N163&gt;='Drop Downs and Assumptions'!$J$3,'Event Dataset'!N163&lt;='Drop Downs and Assumptions'!$K$3),'Drop Downs and Assumptions'!$L$3,IF(AND('Event Dataset'!N163&gt;='Drop Downs and Assumptions'!$J$4,'Event Dataset'!N163&lt;='Drop Downs and Assumptions'!$K$4),'Drop Downs and Assumptions'!$L$4,IF('Event Dataset'!N163&gt;='Drop Downs and Assumptions'!$J$5,'Drop Downs and Assumptions'!$L$5,"")))))</f>
        <v/>
      </c>
      <c r="P163" s="96"/>
      <c r="Q163" s="97"/>
      <c r="R163" s="98"/>
      <c r="S163" s="99"/>
      <c r="T163" s="99"/>
      <c r="U163" s="99"/>
      <c r="V163" s="99"/>
      <c r="W163" s="99"/>
      <c r="X163" s="99"/>
      <c r="Y163" s="99"/>
      <c r="Z163" s="99"/>
      <c r="AA163" s="99"/>
      <c r="AB163" s="99"/>
      <c r="AC163" s="100"/>
      <c r="AD163" s="101" t="str">
        <f t="shared" si="22"/>
        <v/>
      </c>
      <c r="AE163" s="102" t="str">
        <f t="shared" si="23"/>
        <v/>
      </c>
      <c r="AF163" s="103" t="str">
        <f t="shared" si="24"/>
        <v/>
      </c>
      <c r="AG163" s="104" t="str">
        <f t="shared" si="25"/>
        <v/>
      </c>
    </row>
    <row r="164" spans="1:33" x14ac:dyDescent="0.25">
      <c r="A164" s="4">
        <f t="shared" si="26"/>
        <v>161</v>
      </c>
      <c r="B164" s="30" t="str">
        <f t="shared" si="27"/>
        <v/>
      </c>
      <c r="C164" s="67" t="str">
        <f t="shared" si="21"/>
        <v/>
      </c>
      <c r="D164" s="105"/>
      <c r="E164" s="106"/>
      <c r="F164" s="106"/>
      <c r="G164" s="106"/>
      <c r="H164" s="107"/>
      <c r="I164" s="106"/>
      <c r="J164" s="106"/>
      <c r="K164" s="106"/>
      <c r="L164" s="106"/>
      <c r="M164" s="106"/>
      <c r="N164" s="108"/>
      <c r="O164" s="108" t="str">
        <f>IF(N164="","",IF('Event Dataset'!N164&lt;='Drop Downs and Assumptions'!$K$2,'Drop Downs and Assumptions'!$L$2,IF(AND('Event Dataset'!N164&gt;='Drop Downs and Assumptions'!$J$3,'Event Dataset'!N164&lt;='Drop Downs and Assumptions'!$K$3),'Drop Downs and Assumptions'!$L$3,IF(AND('Event Dataset'!N164&gt;='Drop Downs and Assumptions'!$J$4,'Event Dataset'!N164&lt;='Drop Downs and Assumptions'!$K$4),'Drop Downs and Assumptions'!$L$4,IF('Event Dataset'!N164&gt;='Drop Downs and Assumptions'!$J$5,'Drop Downs and Assumptions'!$L$5,"")))))</f>
        <v/>
      </c>
      <c r="P164" s="109"/>
      <c r="Q164" s="97"/>
      <c r="R164" s="110"/>
      <c r="S164" s="111"/>
      <c r="T164" s="111"/>
      <c r="U164" s="111"/>
      <c r="V164" s="111"/>
      <c r="W164" s="111"/>
      <c r="X164" s="111"/>
      <c r="Y164" s="111"/>
      <c r="Z164" s="111"/>
      <c r="AA164" s="111"/>
      <c r="AB164" s="111"/>
      <c r="AC164" s="112"/>
      <c r="AD164" s="113" t="str">
        <f t="shared" si="22"/>
        <v/>
      </c>
      <c r="AE164" s="114" t="str">
        <f t="shared" si="23"/>
        <v/>
      </c>
      <c r="AF164" s="115" t="str">
        <f t="shared" si="24"/>
        <v/>
      </c>
      <c r="AG164" s="116" t="str">
        <f t="shared" si="25"/>
        <v/>
      </c>
    </row>
    <row r="165" spans="1:33" x14ac:dyDescent="0.25">
      <c r="A165" s="16">
        <f t="shared" si="26"/>
        <v>162</v>
      </c>
      <c r="B165" s="31" t="str">
        <f t="shared" si="27"/>
        <v/>
      </c>
      <c r="C165" s="66" t="str">
        <f t="shared" si="21"/>
        <v/>
      </c>
      <c r="D165" s="92"/>
      <c r="E165" s="93"/>
      <c r="F165" s="93"/>
      <c r="G165" s="93"/>
      <c r="H165" s="94"/>
      <c r="I165" s="93"/>
      <c r="J165" s="93"/>
      <c r="K165" s="93"/>
      <c r="L165" s="93"/>
      <c r="M165" s="93"/>
      <c r="N165" s="95"/>
      <c r="O165" s="95" t="str">
        <f>IF(N165="","",IF('Event Dataset'!N165&lt;='Drop Downs and Assumptions'!$K$2,'Drop Downs and Assumptions'!$L$2,IF(AND('Event Dataset'!N165&gt;='Drop Downs and Assumptions'!$J$3,'Event Dataset'!N165&lt;='Drop Downs and Assumptions'!$K$3),'Drop Downs and Assumptions'!$L$3,IF(AND('Event Dataset'!N165&gt;='Drop Downs and Assumptions'!$J$4,'Event Dataset'!N165&lt;='Drop Downs and Assumptions'!$K$4),'Drop Downs and Assumptions'!$L$4,IF('Event Dataset'!N165&gt;='Drop Downs and Assumptions'!$J$5,'Drop Downs and Assumptions'!$L$5,"")))))</f>
        <v/>
      </c>
      <c r="P165" s="96"/>
      <c r="Q165" s="97"/>
      <c r="R165" s="98"/>
      <c r="S165" s="99"/>
      <c r="T165" s="99"/>
      <c r="U165" s="99"/>
      <c r="V165" s="99"/>
      <c r="W165" s="99"/>
      <c r="X165" s="99"/>
      <c r="Y165" s="99"/>
      <c r="Z165" s="99"/>
      <c r="AA165" s="99"/>
      <c r="AB165" s="99"/>
      <c r="AC165" s="100"/>
      <c r="AD165" s="101" t="str">
        <f t="shared" si="22"/>
        <v/>
      </c>
      <c r="AE165" s="102" t="str">
        <f t="shared" si="23"/>
        <v/>
      </c>
      <c r="AF165" s="103" t="str">
        <f t="shared" si="24"/>
        <v/>
      </c>
      <c r="AG165" s="104" t="str">
        <f t="shared" si="25"/>
        <v/>
      </c>
    </row>
    <row r="166" spans="1:33" x14ac:dyDescent="0.25">
      <c r="A166" s="4">
        <f t="shared" si="26"/>
        <v>163</v>
      </c>
      <c r="B166" s="30" t="str">
        <f t="shared" si="27"/>
        <v/>
      </c>
      <c r="C166" s="67" t="str">
        <f t="shared" si="21"/>
        <v/>
      </c>
      <c r="D166" s="105"/>
      <c r="E166" s="106"/>
      <c r="F166" s="106"/>
      <c r="G166" s="106"/>
      <c r="H166" s="107"/>
      <c r="I166" s="106"/>
      <c r="J166" s="106"/>
      <c r="K166" s="106"/>
      <c r="L166" s="106"/>
      <c r="M166" s="106"/>
      <c r="N166" s="108"/>
      <c r="O166" s="108" t="str">
        <f>IF(N166="","",IF('Event Dataset'!N166&lt;='Drop Downs and Assumptions'!$K$2,'Drop Downs and Assumptions'!$L$2,IF(AND('Event Dataset'!N166&gt;='Drop Downs and Assumptions'!$J$3,'Event Dataset'!N166&lt;='Drop Downs and Assumptions'!$K$3),'Drop Downs and Assumptions'!$L$3,IF(AND('Event Dataset'!N166&gt;='Drop Downs and Assumptions'!$J$4,'Event Dataset'!N166&lt;='Drop Downs and Assumptions'!$K$4),'Drop Downs and Assumptions'!$L$4,IF('Event Dataset'!N166&gt;='Drop Downs and Assumptions'!$J$5,'Drop Downs and Assumptions'!$L$5,"")))))</f>
        <v/>
      </c>
      <c r="P166" s="109"/>
      <c r="Q166" s="97"/>
      <c r="R166" s="110"/>
      <c r="S166" s="111"/>
      <c r="T166" s="111"/>
      <c r="U166" s="111"/>
      <c r="V166" s="111"/>
      <c r="W166" s="111"/>
      <c r="X166" s="111"/>
      <c r="Y166" s="111"/>
      <c r="Z166" s="111"/>
      <c r="AA166" s="111"/>
      <c r="AB166" s="111"/>
      <c r="AC166" s="112"/>
      <c r="AD166" s="113" t="str">
        <f t="shared" si="22"/>
        <v/>
      </c>
      <c r="AE166" s="114" t="str">
        <f t="shared" si="23"/>
        <v/>
      </c>
      <c r="AF166" s="115" t="str">
        <f t="shared" si="24"/>
        <v/>
      </c>
      <c r="AG166" s="116" t="str">
        <f t="shared" si="25"/>
        <v/>
      </c>
    </row>
    <row r="167" spans="1:33" x14ac:dyDescent="0.25">
      <c r="A167" s="16">
        <f t="shared" si="26"/>
        <v>164</v>
      </c>
      <c r="B167" s="31" t="str">
        <f t="shared" si="27"/>
        <v/>
      </c>
      <c r="C167" s="66" t="str">
        <f t="shared" si="21"/>
        <v/>
      </c>
      <c r="D167" s="92"/>
      <c r="E167" s="93"/>
      <c r="F167" s="93"/>
      <c r="G167" s="93"/>
      <c r="H167" s="94"/>
      <c r="I167" s="93"/>
      <c r="J167" s="93"/>
      <c r="K167" s="93"/>
      <c r="L167" s="93"/>
      <c r="M167" s="93"/>
      <c r="N167" s="95"/>
      <c r="O167" s="95" t="str">
        <f>IF(N167="","",IF('Event Dataset'!N167&lt;='Drop Downs and Assumptions'!$K$2,'Drop Downs and Assumptions'!$L$2,IF(AND('Event Dataset'!N167&gt;='Drop Downs and Assumptions'!$J$3,'Event Dataset'!N167&lt;='Drop Downs and Assumptions'!$K$3),'Drop Downs and Assumptions'!$L$3,IF(AND('Event Dataset'!N167&gt;='Drop Downs and Assumptions'!$J$4,'Event Dataset'!N167&lt;='Drop Downs and Assumptions'!$K$4),'Drop Downs and Assumptions'!$L$4,IF('Event Dataset'!N167&gt;='Drop Downs and Assumptions'!$J$5,'Drop Downs and Assumptions'!$L$5,"")))))</f>
        <v/>
      </c>
      <c r="P167" s="96"/>
      <c r="Q167" s="97"/>
      <c r="R167" s="98"/>
      <c r="S167" s="99"/>
      <c r="T167" s="99"/>
      <c r="U167" s="99"/>
      <c r="V167" s="99"/>
      <c r="W167" s="99"/>
      <c r="X167" s="99"/>
      <c r="Y167" s="99"/>
      <c r="Z167" s="99"/>
      <c r="AA167" s="99"/>
      <c r="AB167" s="99"/>
      <c r="AC167" s="100"/>
      <c r="AD167" s="101" t="str">
        <f t="shared" si="22"/>
        <v/>
      </c>
      <c r="AE167" s="102" t="str">
        <f t="shared" si="23"/>
        <v/>
      </c>
      <c r="AF167" s="103" t="str">
        <f t="shared" si="24"/>
        <v/>
      </c>
      <c r="AG167" s="104" t="str">
        <f t="shared" si="25"/>
        <v/>
      </c>
    </row>
    <row r="168" spans="1:33" x14ac:dyDescent="0.25">
      <c r="A168" s="4">
        <f t="shared" si="26"/>
        <v>165</v>
      </c>
      <c r="B168" s="30" t="str">
        <f t="shared" si="27"/>
        <v/>
      </c>
      <c r="C168" s="67" t="str">
        <f t="shared" si="21"/>
        <v/>
      </c>
      <c r="D168" s="105"/>
      <c r="E168" s="106"/>
      <c r="F168" s="106"/>
      <c r="G168" s="106"/>
      <c r="H168" s="107"/>
      <c r="I168" s="106"/>
      <c r="J168" s="106"/>
      <c r="K168" s="106"/>
      <c r="L168" s="106"/>
      <c r="M168" s="106"/>
      <c r="N168" s="108"/>
      <c r="O168" s="108" t="str">
        <f>IF(N168="","",IF('Event Dataset'!N168&lt;='Drop Downs and Assumptions'!$K$2,'Drop Downs and Assumptions'!$L$2,IF(AND('Event Dataset'!N168&gt;='Drop Downs and Assumptions'!$J$3,'Event Dataset'!N168&lt;='Drop Downs and Assumptions'!$K$3),'Drop Downs and Assumptions'!$L$3,IF(AND('Event Dataset'!N168&gt;='Drop Downs and Assumptions'!$J$4,'Event Dataset'!N168&lt;='Drop Downs and Assumptions'!$K$4),'Drop Downs and Assumptions'!$L$4,IF('Event Dataset'!N168&gt;='Drop Downs and Assumptions'!$J$5,'Drop Downs and Assumptions'!$L$5,"")))))</f>
        <v/>
      </c>
      <c r="P168" s="109"/>
      <c r="Q168" s="97"/>
      <c r="R168" s="110"/>
      <c r="S168" s="111"/>
      <c r="T168" s="111"/>
      <c r="U168" s="111"/>
      <c r="V168" s="111"/>
      <c r="W168" s="111"/>
      <c r="X168" s="111"/>
      <c r="Y168" s="111"/>
      <c r="Z168" s="111"/>
      <c r="AA168" s="111"/>
      <c r="AB168" s="111"/>
      <c r="AC168" s="112"/>
      <c r="AD168" s="113" t="str">
        <f t="shared" si="22"/>
        <v/>
      </c>
      <c r="AE168" s="114" t="str">
        <f t="shared" si="23"/>
        <v/>
      </c>
      <c r="AF168" s="115" t="str">
        <f t="shared" si="24"/>
        <v/>
      </c>
      <c r="AG168" s="116" t="str">
        <f t="shared" si="25"/>
        <v/>
      </c>
    </row>
    <row r="169" spans="1:33" x14ac:dyDescent="0.25">
      <c r="A169" s="16">
        <f t="shared" si="26"/>
        <v>166</v>
      </c>
      <c r="B169" s="31" t="str">
        <f t="shared" si="27"/>
        <v/>
      </c>
      <c r="C169" s="66" t="str">
        <f t="shared" si="21"/>
        <v/>
      </c>
      <c r="D169" s="92"/>
      <c r="E169" s="93"/>
      <c r="F169" s="93"/>
      <c r="G169" s="93"/>
      <c r="H169" s="94"/>
      <c r="I169" s="93"/>
      <c r="J169" s="93"/>
      <c r="K169" s="93"/>
      <c r="L169" s="93"/>
      <c r="M169" s="93"/>
      <c r="N169" s="95"/>
      <c r="O169" s="95" t="str">
        <f>IF(N169="","",IF('Event Dataset'!N169&lt;='Drop Downs and Assumptions'!$K$2,'Drop Downs and Assumptions'!$L$2,IF(AND('Event Dataset'!N169&gt;='Drop Downs and Assumptions'!$J$3,'Event Dataset'!N169&lt;='Drop Downs and Assumptions'!$K$3),'Drop Downs and Assumptions'!$L$3,IF(AND('Event Dataset'!N169&gt;='Drop Downs and Assumptions'!$J$4,'Event Dataset'!N169&lt;='Drop Downs and Assumptions'!$K$4),'Drop Downs and Assumptions'!$L$4,IF('Event Dataset'!N169&gt;='Drop Downs and Assumptions'!$J$5,'Drop Downs and Assumptions'!$L$5,"")))))</f>
        <v/>
      </c>
      <c r="P169" s="96"/>
      <c r="Q169" s="97"/>
      <c r="R169" s="98"/>
      <c r="S169" s="99"/>
      <c r="T169" s="99"/>
      <c r="U169" s="99"/>
      <c r="V169" s="99"/>
      <c r="W169" s="99"/>
      <c r="X169" s="99"/>
      <c r="Y169" s="99"/>
      <c r="Z169" s="99"/>
      <c r="AA169" s="99"/>
      <c r="AB169" s="99"/>
      <c r="AC169" s="100"/>
      <c r="AD169" s="101" t="str">
        <f t="shared" si="22"/>
        <v/>
      </c>
      <c r="AE169" s="102" t="str">
        <f t="shared" si="23"/>
        <v/>
      </c>
      <c r="AF169" s="103" t="str">
        <f t="shared" si="24"/>
        <v/>
      </c>
      <c r="AG169" s="104" t="str">
        <f t="shared" si="25"/>
        <v/>
      </c>
    </row>
    <row r="170" spans="1:33" x14ac:dyDescent="0.25">
      <c r="A170" s="4">
        <f t="shared" si="26"/>
        <v>167</v>
      </c>
      <c r="B170" s="30" t="str">
        <f t="shared" si="27"/>
        <v/>
      </c>
      <c r="C170" s="67" t="str">
        <f t="shared" si="21"/>
        <v/>
      </c>
      <c r="D170" s="105"/>
      <c r="E170" s="106"/>
      <c r="F170" s="106"/>
      <c r="G170" s="106"/>
      <c r="H170" s="107"/>
      <c r="I170" s="106"/>
      <c r="J170" s="106"/>
      <c r="K170" s="106"/>
      <c r="L170" s="106"/>
      <c r="M170" s="106"/>
      <c r="N170" s="108"/>
      <c r="O170" s="108" t="str">
        <f>IF(N170="","",IF('Event Dataset'!N170&lt;='Drop Downs and Assumptions'!$K$2,'Drop Downs and Assumptions'!$L$2,IF(AND('Event Dataset'!N170&gt;='Drop Downs and Assumptions'!$J$3,'Event Dataset'!N170&lt;='Drop Downs and Assumptions'!$K$3),'Drop Downs and Assumptions'!$L$3,IF(AND('Event Dataset'!N170&gt;='Drop Downs and Assumptions'!$J$4,'Event Dataset'!N170&lt;='Drop Downs and Assumptions'!$K$4),'Drop Downs and Assumptions'!$L$4,IF('Event Dataset'!N170&gt;='Drop Downs and Assumptions'!$J$5,'Drop Downs and Assumptions'!$L$5,"")))))</f>
        <v/>
      </c>
      <c r="P170" s="109"/>
      <c r="Q170" s="97"/>
      <c r="R170" s="110"/>
      <c r="S170" s="111"/>
      <c r="T170" s="111"/>
      <c r="U170" s="111"/>
      <c r="V170" s="111"/>
      <c r="W170" s="111"/>
      <c r="X170" s="111"/>
      <c r="Y170" s="111"/>
      <c r="Z170" s="111"/>
      <c r="AA170" s="111"/>
      <c r="AB170" s="111"/>
      <c r="AC170" s="112"/>
      <c r="AD170" s="113" t="str">
        <f t="shared" si="22"/>
        <v/>
      </c>
      <c r="AE170" s="114" t="str">
        <f t="shared" si="23"/>
        <v/>
      </c>
      <c r="AF170" s="115" t="str">
        <f t="shared" si="24"/>
        <v/>
      </c>
      <c r="AG170" s="116" t="str">
        <f t="shared" si="25"/>
        <v/>
      </c>
    </row>
    <row r="171" spans="1:33" x14ac:dyDescent="0.25">
      <c r="A171" s="16">
        <f t="shared" si="26"/>
        <v>168</v>
      </c>
      <c r="B171" s="31" t="str">
        <f t="shared" si="27"/>
        <v/>
      </c>
      <c r="C171" s="66" t="str">
        <f t="shared" si="21"/>
        <v/>
      </c>
      <c r="D171" s="92"/>
      <c r="E171" s="93"/>
      <c r="F171" s="93"/>
      <c r="G171" s="93"/>
      <c r="H171" s="94"/>
      <c r="I171" s="93"/>
      <c r="J171" s="93"/>
      <c r="K171" s="93"/>
      <c r="L171" s="93"/>
      <c r="M171" s="93"/>
      <c r="N171" s="95"/>
      <c r="O171" s="95" t="str">
        <f>IF(N171="","",IF('Event Dataset'!N171&lt;='Drop Downs and Assumptions'!$K$2,'Drop Downs and Assumptions'!$L$2,IF(AND('Event Dataset'!N171&gt;='Drop Downs and Assumptions'!$J$3,'Event Dataset'!N171&lt;='Drop Downs and Assumptions'!$K$3),'Drop Downs and Assumptions'!$L$3,IF(AND('Event Dataset'!N171&gt;='Drop Downs and Assumptions'!$J$4,'Event Dataset'!N171&lt;='Drop Downs and Assumptions'!$K$4),'Drop Downs and Assumptions'!$L$4,IF('Event Dataset'!N171&gt;='Drop Downs and Assumptions'!$J$5,'Drop Downs and Assumptions'!$L$5,"")))))</f>
        <v/>
      </c>
      <c r="P171" s="96"/>
      <c r="Q171" s="97"/>
      <c r="R171" s="98"/>
      <c r="S171" s="99"/>
      <c r="T171" s="99"/>
      <c r="U171" s="99"/>
      <c r="V171" s="99"/>
      <c r="W171" s="99"/>
      <c r="X171" s="99"/>
      <c r="Y171" s="99"/>
      <c r="Z171" s="99"/>
      <c r="AA171" s="99"/>
      <c r="AB171" s="99"/>
      <c r="AC171" s="100"/>
      <c r="AD171" s="101" t="str">
        <f t="shared" si="22"/>
        <v/>
      </c>
      <c r="AE171" s="102" t="str">
        <f t="shared" si="23"/>
        <v/>
      </c>
      <c r="AF171" s="103" t="str">
        <f t="shared" si="24"/>
        <v/>
      </c>
      <c r="AG171" s="104" t="str">
        <f t="shared" si="25"/>
        <v/>
      </c>
    </row>
    <row r="172" spans="1:33" x14ac:dyDescent="0.25">
      <c r="A172" s="4">
        <f t="shared" si="26"/>
        <v>169</v>
      </c>
      <c r="B172" s="30" t="str">
        <f t="shared" si="27"/>
        <v/>
      </c>
      <c r="C172" s="67" t="str">
        <f t="shared" si="21"/>
        <v/>
      </c>
      <c r="D172" s="105"/>
      <c r="E172" s="106"/>
      <c r="F172" s="106"/>
      <c r="G172" s="106"/>
      <c r="H172" s="107"/>
      <c r="I172" s="106"/>
      <c r="J172" s="106"/>
      <c r="K172" s="106"/>
      <c r="L172" s="106"/>
      <c r="M172" s="106"/>
      <c r="N172" s="108"/>
      <c r="O172" s="108" t="str">
        <f>IF(N172="","",IF('Event Dataset'!N172&lt;='Drop Downs and Assumptions'!$K$2,'Drop Downs and Assumptions'!$L$2,IF(AND('Event Dataset'!N172&gt;='Drop Downs and Assumptions'!$J$3,'Event Dataset'!N172&lt;='Drop Downs and Assumptions'!$K$3),'Drop Downs and Assumptions'!$L$3,IF(AND('Event Dataset'!N172&gt;='Drop Downs and Assumptions'!$J$4,'Event Dataset'!N172&lt;='Drop Downs and Assumptions'!$K$4),'Drop Downs and Assumptions'!$L$4,IF('Event Dataset'!N172&gt;='Drop Downs and Assumptions'!$J$5,'Drop Downs and Assumptions'!$L$5,"")))))</f>
        <v/>
      </c>
      <c r="P172" s="109"/>
      <c r="Q172" s="97"/>
      <c r="R172" s="110"/>
      <c r="S172" s="111"/>
      <c r="T172" s="111"/>
      <c r="U172" s="111"/>
      <c r="V172" s="111"/>
      <c r="W172" s="111"/>
      <c r="X172" s="111"/>
      <c r="Y172" s="111"/>
      <c r="Z172" s="111"/>
      <c r="AA172" s="111"/>
      <c r="AB172" s="111"/>
      <c r="AC172" s="112"/>
      <c r="AD172" s="113" t="str">
        <f t="shared" si="22"/>
        <v/>
      </c>
      <c r="AE172" s="114" t="str">
        <f t="shared" si="23"/>
        <v/>
      </c>
      <c r="AF172" s="115" t="str">
        <f t="shared" si="24"/>
        <v/>
      </c>
      <c r="AG172" s="116" t="str">
        <f t="shared" si="25"/>
        <v/>
      </c>
    </row>
    <row r="173" spans="1:33" x14ac:dyDescent="0.25">
      <c r="A173" s="16">
        <f t="shared" si="26"/>
        <v>170</v>
      </c>
      <c r="B173" s="31" t="str">
        <f t="shared" si="27"/>
        <v/>
      </c>
      <c r="C173" s="66" t="str">
        <f t="shared" si="21"/>
        <v/>
      </c>
      <c r="D173" s="92"/>
      <c r="E173" s="93"/>
      <c r="F173" s="93"/>
      <c r="G173" s="93"/>
      <c r="H173" s="94"/>
      <c r="I173" s="93"/>
      <c r="J173" s="93"/>
      <c r="K173" s="93"/>
      <c r="L173" s="93"/>
      <c r="M173" s="93"/>
      <c r="N173" s="95"/>
      <c r="O173" s="95" t="str">
        <f>IF(N173="","",IF('Event Dataset'!N173&lt;='Drop Downs and Assumptions'!$K$2,'Drop Downs and Assumptions'!$L$2,IF(AND('Event Dataset'!N173&gt;='Drop Downs and Assumptions'!$J$3,'Event Dataset'!N173&lt;='Drop Downs and Assumptions'!$K$3),'Drop Downs and Assumptions'!$L$3,IF(AND('Event Dataset'!N173&gt;='Drop Downs and Assumptions'!$J$4,'Event Dataset'!N173&lt;='Drop Downs and Assumptions'!$K$4),'Drop Downs and Assumptions'!$L$4,IF('Event Dataset'!N173&gt;='Drop Downs and Assumptions'!$J$5,'Drop Downs and Assumptions'!$L$5,"")))))</f>
        <v/>
      </c>
      <c r="P173" s="96"/>
      <c r="Q173" s="97"/>
      <c r="R173" s="98"/>
      <c r="S173" s="99"/>
      <c r="T173" s="99"/>
      <c r="U173" s="99"/>
      <c r="V173" s="99"/>
      <c r="W173" s="99"/>
      <c r="X173" s="99"/>
      <c r="Y173" s="99"/>
      <c r="Z173" s="99"/>
      <c r="AA173" s="99"/>
      <c r="AB173" s="99"/>
      <c r="AC173" s="100"/>
      <c r="AD173" s="101" t="str">
        <f t="shared" si="22"/>
        <v/>
      </c>
      <c r="AE173" s="102" t="str">
        <f t="shared" si="23"/>
        <v/>
      </c>
      <c r="AF173" s="103" t="str">
        <f t="shared" si="24"/>
        <v/>
      </c>
      <c r="AG173" s="104" t="str">
        <f t="shared" si="25"/>
        <v/>
      </c>
    </row>
    <row r="174" spans="1:33" x14ac:dyDescent="0.25">
      <c r="A174" s="4">
        <f t="shared" si="26"/>
        <v>171</v>
      </c>
      <c r="B174" s="30" t="str">
        <f t="shared" si="27"/>
        <v/>
      </c>
      <c r="C174" s="67" t="str">
        <f t="shared" si="21"/>
        <v/>
      </c>
      <c r="D174" s="105"/>
      <c r="E174" s="106"/>
      <c r="F174" s="106"/>
      <c r="G174" s="106"/>
      <c r="H174" s="107"/>
      <c r="I174" s="106"/>
      <c r="J174" s="106"/>
      <c r="K174" s="106"/>
      <c r="L174" s="106"/>
      <c r="M174" s="106"/>
      <c r="N174" s="108"/>
      <c r="O174" s="108" t="str">
        <f>IF(N174="","",IF('Event Dataset'!N174&lt;='Drop Downs and Assumptions'!$K$2,'Drop Downs and Assumptions'!$L$2,IF(AND('Event Dataset'!N174&gt;='Drop Downs and Assumptions'!$J$3,'Event Dataset'!N174&lt;='Drop Downs and Assumptions'!$K$3),'Drop Downs and Assumptions'!$L$3,IF(AND('Event Dataset'!N174&gt;='Drop Downs and Assumptions'!$J$4,'Event Dataset'!N174&lt;='Drop Downs and Assumptions'!$K$4),'Drop Downs and Assumptions'!$L$4,IF('Event Dataset'!N174&gt;='Drop Downs and Assumptions'!$J$5,'Drop Downs and Assumptions'!$L$5,"")))))</f>
        <v/>
      </c>
      <c r="P174" s="109"/>
      <c r="Q174" s="97"/>
      <c r="R174" s="110"/>
      <c r="S174" s="111"/>
      <c r="T174" s="111"/>
      <c r="U174" s="111"/>
      <c r="V174" s="111"/>
      <c r="W174" s="111"/>
      <c r="X174" s="111"/>
      <c r="Y174" s="111"/>
      <c r="Z174" s="111"/>
      <c r="AA174" s="111"/>
      <c r="AB174" s="111"/>
      <c r="AC174" s="112"/>
      <c r="AD174" s="113" t="str">
        <f t="shared" si="22"/>
        <v/>
      </c>
      <c r="AE174" s="114" t="str">
        <f t="shared" si="23"/>
        <v/>
      </c>
      <c r="AF174" s="115" t="str">
        <f t="shared" si="24"/>
        <v/>
      </c>
      <c r="AG174" s="116" t="str">
        <f t="shared" si="25"/>
        <v/>
      </c>
    </row>
    <row r="175" spans="1:33" x14ac:dyDescent="0.25">
      <c r="A175" s="16">
        <f t="shared" si="26"/>
        <v>172</v>
      </c>
      <c r="B175" s="31" t="str">
        <f t="shared" si="27"/>
        <v/>
      </c>
      <c r="C175" s="66" t="str">
        <f t="shared" si="21"/>
        <v/>
      </c>
      <c r="D175" s="92"/>
      <c r="E175" s="93"/>
      <c r="F175" s="93"/>
      <c r="G175" s="93"/>
      <c r="H175" s="94"/>
      <c r="I175" s="93"/>
      <c r="J175" s="93"/>
      <c r="K175" s="93"/>
      <c r="L175" s="93"/>
      <c r="M175" s="93"/>
      <c r="N175" s="95"/>
      <c r="O175" s="95" t="str">
        <f>IF(N175="","",IF('Event Dataset'!N175&lt;='Drop Downs and Assumptions'!$K$2,'Drop Downs and Assumptions'!$L$2,IF(AND('Event Dataset'!N175&gt;='Drop Downs and Assumptions'!$J$3,'Event Dataset'!N175&lt;='Drop Downs and Assumptions'!$K$3),'Drop Downs and Assumptions'!$L$3,IF(AND('Event Dataset'!N175&gt;='Drop Downs and Assumptions'!$J$4,'Event Dataset'!N175&lt;='Drop Downs and Assumptions'!$K$4),'Drop Downs and Assumptions'!$L$4,IF('Event Dataset'!N175&gt;='Drop Downs and Assumptions'!$J$5,'Drop Downs and Assumptions'!$L$5,"")))))</f>
        <v/>
      </c>
      <c r="P175" s="96"/>
      <c r="Q175" s="97"/>
      <c r="R175" s="98"/>
      <c r="S175" s="99"/>
      <c r="T175" s="99"/>
      <c r="U175" s="99"/>
      <c r="V175" s="99"/>
      <c r="W175" s="99"/>
      <c r="X175" s="99"/>
      <c r="Y175" s="99"/>
      <c r="Z175" s="99"/>
      <c r="AA175" s="99"/>
      <c r="AB175" s="99"/>
      <c r="AC175" s="100"/>
      <c r="AD175" s="101" t="str">
        <f t="shared" si="22"/>
        <v/>
      </c>
      <c r="AE175" s="102" t="str">
        <f t="shared" si="23"/>
        <v/>
      </c>
      <c r="AF175" s="103" t="str">
        <f t="shared" si="24"/>
        <v/>
      </c>
      <c r="AG175" s="104" t="str">
        <f t="shared" si="25"/>
        <v/>
      </c>
    </row>
    <row r="176" spans="1:33" x14ac:dyDescent="0.25">
      <c r="A176" s="4">
        <f t="shared" si="26"/>
        <v>173</v>
      </c>
      <c r="B176" s="30" t="str">
        <f t="shared" si="27"/>
        <v/>
      </c>
      <c r="C176" s="67" t="str">
        <f t="shared" ref="C176:C239" si="28">IFERROR(RANK(AG176,$AG$4:$AG$470,1),"")</f>
        <v/>
      </c>
      <c r="D176" s="105"/>
      <c r="E176" s="106"/>
      <c r="F176" s="106"/>
      <c r="G176" s="106"/>
      <c r="H176" s="107"/>
      <c r="I176" s="106"/>
      <c r="J176" s="106"/>
      <c r="K176" s="106"/>
      <c r="L176" s="106"/>
      <c r="M176" s="106"/>
      <c r="N176" s="108"/>
      <c r="O176" s="108" t="str">
        <f>IF(N176="","",IF('Event Dataset'!N176&lt;='Drop Downs and Assumptions'!$K$2,'Drop Downs and Assumptions'!$L$2,IF(AND('Event Dataset'!N176&gt;='Drop Downs and Assumptions'!$J$3,'Event Dataset'!N176&lt;='Drop Downs and Assumptions'!$K$3),'Drop Downs and Assumptions'!$L$3,IF(AND('Event Dataset'!N176&gt;='Drop Downs and Assumptions'!$J$4,'Event Dataset'!N176&lt;='Drop Downs and Assumptions'!$K$4),'Drop Downs and Assumptions'!$L$4,IF('Event Dataset'!N176&gt;='Drop Downs and Assumptions'!$J$5,'Drop Downs and Assumptions'!$L$5,"")))))</f>
        <v/>
      </c>
      <c r="P176" s="109"/>
      <c r="Q176" s="97"/>
      <c r="R176" s="110"/>
      <c r="S176" s="111"/>
      <c r="T176" s="111"/>
      <c r="U176" s="111"/>
      <c r="V176" s="111"/>
      <c r="W176" s="111"/>
      <c r="X176" s="111"/>
      <c r="Y176" s="111"/>
      <c r="Z176" s="111"/>
      <c r="AA176" s="111"/>
      <c r="AB176" s="111"/>
      <c r="AC176" s="112"/>
      <c r="AD176" s="113" t="str">
        <f t="shared" ref="AD176:AD239" si="29">IF(SUM(R176:AC176)=0,"",SUM(R176:AC176))</f>
        <v/>
      </c>
      <c r="AE176" s="114" t="str">
        <f t="shared" ref="AE176:AE239" si="30">IFERROR((SUMIF($R$3:$AC$3,"Recycling",$R176:$AC176)+SUMIF($R$3:$AC$3,"Reuse",$R176:$AC176)+SUMIF($R$3:$AC$3,"Alternative Fuels",$R176:$AC176))/AD176,"")</f>
        <v/>
      </c>
      <c r="AF176" s="115" t="str">
        <f t="shared" ref="AF176:AF239" si="31">IFERROR((SUMIF($R$3:$AC$3,"Recycling",$R176:$AC176))/AD176,"")</f>
        <v/>
      </c>
      <c r="AG176" s="116" t="str">
        <f t="shared" si="25"/>
        <v/>
      </c>
    </row>
    <row r="177" spans="1:33" x14ac:dyDescent="0.25">
      <c r="A177" s="16">
        <f t="shared" si="26"/>
        <v>174</v>
      </c>
      <c r="B177" s="31" t="str">
        <f t="shared" si="27"/>
        <v/>
      </c>
      <c r="C177" s="66" t="str">
        <f t="shared" si="28"/>
        <v/>
      </c>
      <c r="D177" s="92"/>
      <c r="E177" s="93"/>
      <c r="F177" s="93"/>
      <c r="G177" s="93"/>
      <c r="H177" s="94"/>
      <c r="I177" s="93"/>
      <c r="J177" s="93"/>
      <c r="K177" s="93"/>
      <c r="L177" s="93"/>
      <c r="M177" s="93"/>
      <c r="N177" s="95"/>
      <c r="O177" s="95" t="str">
        <f>IF(N177="","",IF('Event Dataset'!N177&lt;='Drop Downs and Assumptions'!$K$2,'Drop Downs and Assumptions'!$L$2,IF(AND('Event Dataset'!N177&gt;='Drop Downs and Assumptions'!$J$3,'Event Dataset'!N177&lt;='Drop Downs and Assumptions'!$K$3),'Drop Downs and Assumptions'!$L$3,IF(AND('Event Dataset'!N177&gt;='Drop Downs and Assumptions'!$J$4,'Event Dataset'!N177&lt;='Drop Downs and Assumptions'!$K$4),'Drop Downs and Assumptions'!$L$4,IF('Event Dataset'!N177&gt;='Drop Downs and Assumptions'!$J$5,'Drop Downs and Assumptions'!$L$5,"")))))</f>
        <v/>
      </c>
      <c r="P177" s="96"/>
      <c r="Q177" s="97"/>
      <c r="R177" s="98"/>
      <c r="S177" s="99"/>
      <c r="T177" s="99"/>
      <c r="U177" s="99"/>
      <c r="V177" s="99"/>
      <c r="W177" s="99"/>
      <c r="X177" s="99"/>
      <c r="Y177" s="99"/>
      <c r="Z177" s="99"/>
      <c r="AA177" s="99"/>
      <c r="AB177" s="99"/>
      <c r="AC177" s="100"/>
      <c r="AD177" s="101" t="str">
        <f t="shared" si="29"/>
        <v/>
      </c>
      <c r="AE177" s="102" t="str">
        <f t="shared" si="30"/>
        <v/>
      </c>
      <c r="AF177" s="103" t="str">
        <f t="shared" si="31"/>
        <v/>
      </c>
      <c r="AG177" s="104" t="str">
        <f t="shared" si="25"/>
        <v/>
      </c>
    </row>
    <row r="178" spans="1:33" x14ac:dyDescent="0.25">
      <c r="A178" s="4">
        <f t="shared" si="26"/>
        <v>175</v>
      </c>
      <c r="B178" s="30" t="str">
        <f t="shared" si="27"/>
        <v/>
      </c>
      <c r="C178" s="67" t="str">
        <f t="shared" si="28"/>
        <v/>
      </c>
      <c r="D178" s="105"/>
      <c r="E178" s="106"/>
      <c r="F178" s="106"/>
      <c r="G178" s="106"/>
      <c r="H178" s="107"/>
      <c r="I178" s="106"/>
      <c r="J178" s="106"/>
      <c r="K178" s="106"/>
      <c r="L178" s="106"/>
      <c r="M178" s="106"/>
      <c r="N178" s="108"/>
      <c r="O178" s="108" t="str">
        <f>IF(N178="","",IF('Event Dataset'!N178&lt;='Drop Downs and Assumptions'!$K$2,'Drop Downs and Assumptions'!$L$2,IF(AND('Event Dataset'!N178&gt;='Drop Downs and Assumptions'!$J$3,'Event Dataset'!N178&lt;='Drop Downs and Assumptions'!$K$3),'Drop Downs and Assumptions'!$L$3,IF(AND('Event Dataset'!N178&gt;='Drop Downs and Assumptions'!$J$4,'Event Dataset'!N178&lt;='Drop Downs and Assumptions'!$K$4),'Drop Downs and Assumptions'!$L$4,IF('Event Dataset'!N178&gt;='Drop Downs and Assumptions'!$J$5,'Drop Downs and Assumptions'!$L$5,"")))))</f>
        <v/>
      </c>
      <c r="P178" s="109"/>
      <c r="Q178" s="97"/>
      <c r="R178" s="110"/>
      <c r="S178" s="111"/>
      <c r="T178" s="111"/>
      <c r="U178" s="111"/>
      <c r="V178" s="111"/>
      <c r="W178" s="111"/>
      <c r="X178" s="111"/>
      <c r="Y178" s="111"/>
      <c r="Z178" s="111"/>
      <c r="AA178" s="111"/>
      <c r="AB178" s="111"/>
      <c r="AC178" s="112"/>
      <c r="AD178" s="113" t="str">
        <f t="shared" si="29"/>
        <v/>
      </c>
      <c r="AE178" s="114" t="str">
        <f t="shared" si="30"/>
        <v/>
      </c>
      <c r="AF178" s="115" t="str">
        <f t="shared" si="31"/>
        <v/>
      </c>
      <c r="AG178" s="116" t="str">
        <f t="shared" si="25"/>
        <v/>
      </c>
    </row>
    <row r="179" spans="1:33" x14ac:dyDescent="0.25">
      <c r="A179" s="16">
        <f t="shared" si="26"/>
        <v>176</v>
      </c>
      <c r="B179" s="31" t="str">
        <f t="shared" si="27"/>
        <v/>
      </c>
      <c r="C179" s="66" t="str">
        <f t="shared" si="28"/>
        <v/>
      </c>
      <c r="D179" s="92"/>
      <c r="E179" s="93"/>
      <c r="F179" s="93"/>
      <c r="G179" s="93"/>
      <c r="H179" s="94"/>
      <c r="I179" s="93"/>
      <c r="J179" s="93"/>
      <c r="K179" s="93"/>
      <c r="L179" s="93"/>
      <c r="M179" s="93"/>
      <c r="N179" s="95"/>
      <c r="O179" s="95" t="str">
        <f>IF(N179="","",IF('Event Dataset'!N179&lt;='Drop Downs and Assumptions'!$K$2,'Drop Downs and Assumptions'!$L$2,IF(AND('Event Dataset'!N179&gt;='Drop Downs and Assumptions'!$J$3,'Event Dataset'!N179&lt;='Drop Downs and Assumptions'!$K$3),'Drop Downs and Assumptions'!$L$3,IF(AND('Event Dataset'!N179&gt;='Drop Downs and Assumptions'!$J$4,'Event Dataset'!N179&lt;='Drop Downs and Assumptions'!$K$4),'Drop Downs and Assumptions'!$L$4,IF('Event Dataset'!N179&gt;='Drop Downs and Assumptions'!$J$5,'Drop Downs and Assumptions'!$L$5,"")))))</f>
        <v/>
      </c>
      <c r="P179" s="96"/>
      <c r="Q179" s="97"/>
      <c r="R179" s="98"/>
      <c r="S179" s="99"/>
      <c r="T179" s="99"/>
      <c r="U179" s="99"/>
      <c r="V179" s="99"/>
      <c r="W179" s="99"/>
      <c r="X179" s="99"/>
      <c r="Y179" s="99"/>
      <c r="Z179" s="99"/>
      <c r="AA179" s="99"/>
      <c r="AB179" s="99"/>
      <c r="AC179" s="100"/>
      <c r="AD179" s="101" t="str">
        <f t="shared" si="29"/>
        <v/>
      </c>
      <c r="AE179" s="102" t="str">
        <f t="shared" si="30"/>
        <v/>
      </c>
      <c r="AF179" s="103" t="str">
        <f t="shared" si="31"/>
        <v/>
      </c>
      <c r="AG179" s="104" t="str">
        <f t="shared" si="25"/>
        <v/>
      </c>
    </row>
    <row r="180" spans="1:33" x14ac:dyDescent="0.25">
      <c r="A180" s="4">
        <f t="shared" si="26"/>
        <v>177</v>
      </c>
      <c r="B180" s="30" t="str">
        <f t="shared" si="27"/>
        <v/>
      </c>
      <c r="C180" s="67" t="str">
        <f t="shared" si="28"/>
        <v/>
      </c>
      <c r="D180" s="105"/>
      <c r="E180" s="106"/>
      <c r="F180" s="106"/>
      <c r="G180" s="106"/>
      <c r="H180" s="107"/>
      <c r="I180" s="106"/>
      <c r="J180" s="106"/>
      <c r="K180" s="106"/>
      <c r="L180" s="106"/>
      <c r="M180" s="106"/>
      <c r="N180" s="108"/>
      <c r="O180" s="108" t="str">
        <f>IF(N180="","",IF('Event Dataset'!N180&lt;='Drop Downs and Assumptions'!$K$2,'Drop Downs and Assumptions'!$L$2,IF(AND('Event Dataset'!N180&gt;='Drop Downs and Assumptions'!$J$3,'Event Dataset'!N180&lt;='Drop Downs and Assumptions'!$K$3),'Drop Downs and Assumptions'!$L$3,IF(AND('Event Dataset'!N180&gt;='Drop Downs and Assumptions'!$J$4,'Event Dataset'!N180&lt;='Drop Downs and Assumptions'!$K$4),'Drop Downs and Assumptions'!$L$4,IF('Event Dataset'!N180&gt;='Drop Downs and Assumptions'!$J$5,'Drop Downs and Assumptions'!$L$5,"")))))</f>
        <v/>
      </c>
      <c r="P180" s="109"/>
      <c r="Q180" s="97"/>
      <c r="R180" s="110"/>
      <c r="S180" s="111"/>
      <c r="T180" s="111"/>
      <c r="U180" s="111"/>
      <c r="V180" s="111"/>
      <c r="W180" s="111"/>
      <c r="X180" s="111"/>
      <c r="Y180" s="111"/>
      <c r="Z180" s="111"/>
      <c r="AA180" s="111"/>
      <c r="AB180" s="111"/>
      <c r="AC180" s="112"/>
      <c r="AD180" s="113" t="str">
        <f t="shared" si="29"/>
        <v/>
      </c>
      <c r="AE180" s="114" t="str">
        <f t="shared" si="30"/>
        <v/>
      </c>
      <c r="AF180" s="115" t="str">
        <f t="shared" si="31"/>
        <v/>
      </c>
      <c r="AG180" s="116" t="str">
        <f t="shared" si="25"/>
        <v/>
      </c>
    </row>
    <row r="181" spans="1:33" x14ac:dyDescent="0.25">
      <c r="A181" s="16">
        <f t="shared" si="26"/>
        <v>178</v>
      </c>
      <c r="B181" s="31" t="str">
        <f t="shared" si="27"/>
        <v/>
      </c>
      <c r="C181" s="66" t="str">
        <f t="shared" si="28"/>
        <v/>
      </c>
      <c r="D181" s="92"/>
      <c r="E181" s="93"/>
      <c r="F181" s="93"/>
      <c r="G181" s="93"/>
      <c r="H181" s="94"/>
      <c r="I181" s="93"/>
      <c r="J181" s="93"/>
      <c r="K181" s="93"/>
      <c r="L181" s="93"/>
      <c r="M181" s="93"/>
      <c r="N181" s="95"/>
      <c r="O181" s="95" t="str">
        <f>IF(N181="","",IF('Event Dataset'!N181&lt;='Drop Downs and Assumptions'!$K$2,'Drop Downs and Assumptions'!$L$2,IF(AND('Event Dataset'!N181&gt;='Drop Downs and Assumptions'!$J$3,'Event Dataset'!N181&lt;='Drop Downs and Assumptions'!$K$3),'Drop Downs and Assumptions'!$L$3,IF(AND('Event Dataset'!N181&gt;='Drop Downs and Assumptions'!$J$4,'Event Dataset'!N181&lt;='Drop Downs and Assumptions'!$K$4),'Drop Downs and Assumptions'!$L$4,IF('Event Dataset'!N181&gt;='Drop Downs and Assumptions'!$J$5,'Drop Downs and Assumptions'!$L$5,"")))))</f>
        <v/>
      </c>
      <c r="P181" s="96"/>
      <c r="Q181" s="97"/>
      <c r="R181" s="98"/>
      <c r="S181" s="99"/>
      <c r="T181" s="99"/>
      <c r="U181" s="99"/>
      <c r="V181" s="99"/>
      <c r="W181" s="99"/>
      <c r="X181" s="99"/>
      <c r="Y181" s="99"/>
      <c r="Z181" s="99"/>
      <c r="AA181" s="99"/>
      <c r="AB181" s="99"/>
      <c r="AC181" s="100"/>
      <c r="AD181" s="101" t="str">
        <f t="shared" si="29"/>
        <v/>
      </c>
      <c r="AE181" s="102" t="str">
        <f t="shared" si="30"/>
        <v/>
      </c>
      <c r="AF181" s="103" t="str">
        <f t="shared" si="31"/>
        <v/>
      </c>
      <c r="AG181" s="104" t="str">
        <f t="shared" si="25"/>
        <v/>
      </c>
    </row>
    <row r="182" spans="1:33" x14ac:dyDescent="0.25">
      <c r="A182" s="4">
        <f t="shared" si="26"/>
        <v>179</v>
      </c>
      <c r="B182" s="30" t="str">
        <f t="shared" si="27"/>
        <v/>
      </c>
      <c r="C182" s="67" t="str">
        <f t="shared" si="28"/>
        <v/>
      </c>
      <c r="D182" s="105"/>
      <c r="E182" s="106"/>
      <c r="F182" s="106"/>
      <c r="G182" s="106"/>
      <c r="H182" s="107"/>
      <c r="I182" s="106"/>
      <c r="J182" s="106"/>
      <c r="K182" s="106"/>
      <c r="L182" s="106"/>
      <c r="M182" s="106"/>
      <c r="N182" s="108"/>
      <c r="O182" s="108" t="str">
        <f>IF(N182="","",IF('Event Dataset'!N182&lt;='Drop Downs and Assumptions'!$K$2,'Drop Downs and Assumptions'!$L$2,IF(AND('Event Dataset'!N182&gt;='Drop Downs and Assumptions'!$J$3,'Event Dataset'!N182&lt;='Drop Downs and Assumptions'!$K$3),'Drop Downs and Assumptions'!$L$3,IF(AND('Event Dataset'!N182&gt;='Drop Downs and Assumptions'!$J$4,'Event Dataset'!N182&lt;='Drop Downs and Assumptions'!$K$4),'Drop Downs and Assumptions'!$L$4,IF('Event Dataset'!N182&gt;='Drop Downs and Assumptions'!$J$5,'Drop Downs and Assumptions'!$L$5,"")))))</f>
        <v/>
      </c>
      <c r="P182" s="109"/>
      <c r="Q182" s="97"/>
      <c r="R182" s="110"/>
      <c r="S182" s="111"/>
      <c r="T182" s="111"/>
      <c r="U182" s="111"/>
      <c r="V182" s="111"/>
      <c r="W182" s="111"/>
      <c r="X182" s="111"/>
      <c r="Y182" s="111"/>
      <c r="Z182" s="111"/>
      <c r="AA182" s="111"/>
      <c r="AB182" s="111"/>
      <c r="AC182" s="112"/>
      <c r="AD182" s="113" t="str">
        <f t="shared" si="29"/>
        <v/>
      </c>
      <c r="AE182" s="114" t="str">
        <f t="shared" si="30"/>
        <v/>
      </c>
      <c r="AF182" s="115" t="str">
        <f t="shared" si="31"/>
        <v/>
      </c>
      <c r="AG182" s="116" t="str">
        <f t="shared" si="25"/>
        <v/>
      </c>
    </row>
    <row r="183" spans="1:33" x14ac:dyDescent="0.25">
      <c r="A183" s="16">
        <f t="shared" si="26"/>
        <v>180</v>
      </c>
      <c r="B183" s="31" t="str">
        <f t="shared" si="27"/>
        <v/>
      </c>
      <c r="C183" s="66" t="str">
        <f t="shared" si="28"/>
        <v/>
      </c>
      <c r="D183" s="92"/>
      <c r="E183" s="93"/>
      <c r="F183" s="93"/>
      <c r="G183" s="93"/>
      <c r="H183" s="94"/>
      <c r="I183" s="93"/>
      <c r="J183" s="93"/>
      <c r="K183" s="93"/>
      <c r="L183" s="93"/>
      <c r="M183" s="93"/>
      <c r="N183" s="95"/>
      <c r="O183" s="95" t="str">
        <f>IF(N183="","",IF('Event Dataset'!N183&lt;='Drop Downs and Assumptions'!$K$2,'Drop Downs and Assumptions'!$L$2,IF(AND('Event Dataset'!N183&gt;='Drop Downs and Assumptions'!$J$3,'Event Dataset'!N183&lt;='Drop Downs and Assumptions'!$K$3),'Drop Downs and Assumptions'!$L$3,IF(AND('Event Dataset'!N183&gt;='Drop Downs and Assumptions'!$J$4,'Event Dataset'!N183&lt;='Drop Downs and Assumptions'!$K$4),'Drop Downs and Assumptions'!$L$4,IF('Event Dataset'!N183&gt;='Drop Downs and Assumptions'!$J$5,'Drop Downs and Assumptions'!$L$5,"")))))</f>
        <v/>
      </c>
      <c r="P183" s="96"/>
      <c r="Q183" s="97"/>
      <c r="R183" s="98"/>
      <c r="S183" s="99"/>
      <c r="T183" s="99"/>
      <c r="U183" s="99"/>
      <c r="V183" s="99"/>
      <c r="W183" s="99"/>
      <c r="X183" s="99"/>
      <c r="Y183" s="99"/>
      <c r="Z183" s="99"/>
      <c r="AA183" s="99"/>
      <c r="AB183" s="99"/>
      <c r="AC183" s="100"/>
      <c r="AD183" s="101" t="str">
        <f t="shared" si="29"/>
        <v/>
      </c>
      <c r="AE183" s="102" t="str">
        <f t="shared" si="30"/>
        <v/>
      </c>
      <c r="AF183" s="103" t="str">
        <f t="shared" si="31"/>
        <v/>
      </c>
      <c r="AG183" s="104" t="str">
        <f t="shared" si="25"/>
        <v/>
      </c>
    </row>
    <row r="184" spans="1:33" x14ac:dyDescent="0.25">
      <c r="A184" s="4">
        <f t="shared" si="26"/>
        <v>181</v>
      </c>
      <c r="B184" s="30" t="str">
        <f t="shared" si="27"/>
        <v/>
      </c>
      <c r="C184" s="67" t="str">
        <f t="shared" si="28"/>
        <v/>
      </c>
      <c r="D184" s="105"/>
      <c r="E184" s="106"/>
      <c r="F184" s="106"/>
      <c r="G184" s="106"/>
      <c r="H184" s="107"/>
      <c r="I184" s="106"/>
      <c r="J184" s="106"/>
      <c r="K184" s="106"/>
      <c r="L184" s="106"/>
      <c r="M184" s="106"/>
      <c r="N184" s="108"/>
      <c r="O184" s="108" t="str">
        <f>IF(N184="","",IF('Event Dataset'!N184&lt;='Drop Downs and Assumptions'!$K$2,'Drop Downs and Assumptions'!$L$2,IF(AND('Event Dataset'!N184&gt;='Drop Downs and Assumptions'!$J$3,'Event Dataset'!N184&lt;='Drop Downs and Assumptions'!$K$3),'Drop Downs and Assumptions'!$L$3,IF(AND('Event Dataset'!N184&gt;='Drop Downs and Assumptions'!$J$4,'Event Dataset'!N184&lt;='Drop Downs and Assumptions'!$K$4),'Drop Downs and Assumptions'!$L$4,IF('Event Dataset'!N184&gt;='Drop Downs and Assumptions'!$J$5,'Drop Downs and Assumptions'!$L$5,"")))))</f>
        <v/>
      </c>
      <c r="P184" s="109"/>
      <c r="Q184" s="97"/>
      <c r="R184" s="110"/>
      <c r="S184" s="111"/>
      <c r="T184" s="111"/>
      <c r="U184" s="111"/>
      <c r="V184" s="111"/>
      <c r="W184" s="111"/>
      <c r="X184" s="111"/>
      <c r="Y184" s="111"/>
      <c r="Z184" s="111"/>
      <c r="AA184" s="111"/>
      <c r="AB184" s="111"/>
      <c r="AC184" s="112"/>
      <c r="AD184" s="113" t="str">
        <f t="shared" si="29"/>
        <v/>
      </c>
      <c r="AE184" s="114" t="str">
        <f t="shared" si="30"/>
        <v/>
      </c>
      <c r="AF184" s="115" t="str">
        <f t="shared" si="31"/>
        <v/>
      </c>
      <c r="AG184" s="116" t="str">
        <f t="shared" si="25"/>
        <v/>
      </c>
    </row>
    <row r="185" spans="1:33" x14ac:dyDescent="0.25">
      <c r="A185" s="16">
        <f t="shared" si="26"/>
        <v>182</v>
      </c>
      <c r="B185" s="31" t="str">
        <f t="shared" si="27"/>
        <v/>
      </c>
      <c r="C185" s="66" t="str">
        <f t="shared" si="28"/>
        <v/>
      </c>
      <c r="D185" s="92"/>
      <c r="E185" s="93"/>
      <c r="F185" s="93"/>
      <c r="G185" s="93"/>
      <c r="H185" s="94"/>
      <c r="I185" s="93"/>
      <c r="J185" s="93"/>
      <c r="K185" s="93"/>
      <c r="L185" s="93"/>
      <c r="M185" s="93"/>
      <c r="N185" s="95"/>
      <c r="O185" s="95" t="str">
        <f>IF(N185="","",IF('Event Dataset'!N185&lt;='Drop Downs and Assumptions'!$K$2,'Drop Downs and Assumptions'!$L$2,IF(AND('Event Dataset'!N185&gt;='Drop Downs and Assumptions'!$J$3,'Event Dataset'!N185&lt;='Drop Downs and Assumptions'!$K$3),'Drop Downs and Assumptions'!$L$3,IF(AND('Event Dataset'!N185&gt;='Drop Downs and Assumptions'!$J$4,'Event Dataset'!N185&lt;='Drop Downs and Assumptions'!$K$4),'Drop Downs and Assumptions'!$L$4,IF('Event Dataset'!N185&gt;='Drop Downs and Assumptions'!$J$5,'Drop Downs and Assumptions'!$L$5,"")))))</f>
        <v/>
      </c>
      <c r="P185" s="96"/>
      <c r="Q185" s="97"/>
      <c r="R185" s="98"/>
      <c r="S185" s="99"/>
      <c r="T185" s="99"/>
      <c r="U185" s="99"/>
      <c r="V185" s="99"/>
      <c r="W185" s="99"/>
      <c r="X185" s="99"/>
      <c r="Y185" s="99"/>
      <c r="Z185" s="99"/>
      <c r="AA185" s="99"/>
      <c r="AB185" s="99"/>
      <c r="AC185" s="100"/>
      <c r="AD185" s="101" t="str">
        <f t="shared" si="29"/>
        <v/>
      </c>
      <c r="AE185" s="102" t="str">
        <f t="shared" si="30"/>
        <v/>
      </c>
      <c r="AF185" s="103" t="str">
        <f t="shared" si="31"/>
        <v/>
      </c>
      <c r="AG185" s="104" t="str">
        <f t="shared" si="25"/>
        <v/>
      </c>
    </row>
    <row r="186" spans="1:33" x14ac:dyDescent="0.25">
      <c r="A186" s="4">
        <f t="shared" si="26"/>
        <v>183</v>
      </c>
      <c r="B186" s="30" t="str">
        <f t="shared" si="27"/>
        <v/>
      </c>
      <c r="C186" s="67" t="str">
        <f t="shared" si="28"/>
        <v/>
      </c>
      <c r="D186" s="105"/>
      <c r="E186" s="106"/>
      <c r="F186" s="106"/>
      <c r="G186" s="106"/>
      <c r="H186" s="107"/>
      <c r="I186" s="106"/>
      <c r="J186" s="106"/>
      <c r="K186" s="106"/>
      <c r="L186" s="106"/>
      <c r="M186" s="106"/>
      <c r="N186" s="108"/>
      <c r="O186" s="108" t="str">
        <f>IF(N186="","",IF('Event Dataset'!N186&lt;='Drop Downs and Assumptions'!$K$2,'Drop Downs and Assumptions'!$L$2,IF(AND('Event Dataset'!N186&gt;='Drop Downs and Assumptions'!$J$3,'Event Dataset'!N186&lt;='Drop Downs and Assumptions'!$K$3),'Drop Downs and Assumptions'!$L$3,IF(AND('Event Dataset'!N186&gt;='Drop Downs and Assumptions'!$J$4,'Event Dataset'!N186&lt;='Drop Downs and Assumptions'!$K$4),'Drop Downs and Assumptions'!$L$4,IF('Event Dataset'!N186&gt;='Drop Downs and Assumptions'!$J$5,'Drop Downs and Assumptions'!$L$5,"")))))</f>
        <v/>
      </c>
      <c r="P186" s="109"/>
      <c r="Q186" s="97"/>
      <c r="R186" s="110"/>
      <c r="S186" s="111"/>
      <c r="T186" s="111"/>
      <c r="U186" s="111"/>
      <c r="V186" s="111"/>
      <c r="W186" s="111"/>
      <c r="X186" s="111"/>
      <c r="Y186" s="111"/>
      <c r="Z186" s="111"/>
      <c r="AA186" s="111"/>
      <c r="AB186" s="111"/>
      <c r="AC186" s="112"/>
      <c r="AD186" s="113" t="str">
        <f t="shared" si="29"/>
        <v/>
      </c>
      <c r="AE186" s="114" t="str">
        <f t="shared" si="30"/>
        <v/>
      </c>
      <c r="AF186" s="115" t="str">
        <f t="shared" si="31"/>
        <v/>
      </c>
      <c r="AG186" s="116" t="str">
        <f t="shared" si="25"/>
        <v/>
      </c>
    </row>
    <row r="187" spans="1:33" x14ac:dyDescent="0.25">
      <c r="A187" s="16">
        <f t="shared" si="26"/>
        <v>184</v>
      </c>
      <c r="B187" s="31" t="str">
        <f t="shared" si="27"/>
        <v/>
      </c>
      <c r="C187" s="66" t="str">
        <f t="shared" si="28"/>
        <v/>
      </c>
      <c r="D187" s="92"/>
      <c r="E187" s="93"/>
      <c r="F187" s="93"/>
      <c r="G187" s="93"/>
      <c r="H187" s="94"/>
      <c r="I187" s="93"/>
      <c r="J187" s="93"/>
      <c r="K187" s="93"/>
      <c r="L187" s="93"/>
      <c r="M187" s="93"/>
      <c r="N187" s="95"/>
      <c r="O187" s="95" t="str">
        <f>IF(N187="","",IF('Event Dataset'!N187&lt;='Drop Downs and Assumptions'!$K$2,'Drop Downs and Assumptions'!$L$2,IF(AND('Event Dataset'!N187&gt;='Drop Downs and Assumptions'!$J$3,'Event Dataset'!N187&lt;='Drop Downs and Assumptions'!$K$3),'Drop Downs and Assumptions'!$L$3,IF(AND('Event Dataset'!N187&gt;='Drop Downs and Assumptions'!$J$4,'Event Dataset'!N187&lt;='Drop Downs and Assumptions'!$K$4),'Drop Downs and Assumptions'!$L$4,IF('Event Dataset'!N187&gt;='Drop Downs and Assumptions'!$J$5,'Drop Downs and Assumptions'!$L$5,"")))))</f>
        <v/>
      </c>
      <c r="P187" s="96"/>
      <c r="Q187" s="97"/>
      <c r="R187" s="98"/>
      <c r="S187" s="99"/>
      <c r="T187" s="99"/>
      <c r="U187" s="99"/>
      <c r="V187" s="99"/>
      <c r="W187" s="99"/>
      <c r="X187" s="99"/>
      <c r="Y187" s="99"/>
      <c r="Z187" s="99"/>
      <c r="AA187" s="99"/>
      <c r="AB187" s="99"/>
      <c r="AC187" s="100"/>
      <c r="AD187" s="101" t="str">
        <f t="shared" si="29"/>
        <v/>
      </c>
      <c r="AE187" s="102" t="str">
        <f t="shared" si="30"/>
        <v/>
      </c>
      <c r="AF187" s="103" t="str">
        <f t="shared" si="31"/>
        <v/>
      </c>
      <c r="AG187" s="104" t="str">
        <f t="shared" si="25"/>
        <v/>
      </c>
    </row>
    <row r="188" spans="1:33" x14ac:dyDescent="0.25">
      <c r="A188" s="4">
        <f t="shared" si="26"/>
        <v>185</v>
      </c>
      <c r="B188" s="30" t="str">
        <f t="shared" si="27"/>
        <v/>
      </c>
      <c r="C188" s="67" t="str">
        <f t="shared" si="28"/>
        <v/>
      </c>
      <c r="D188" s="105"/>
      <c r="E188" s="106"/>
      <c r="F188" s="106"/>
      <c r="G188" s="106"/>
      <c r="H188" s="107"/>
      <c r="I188" s="106"/>
      <c r="J188" s="106"/>
      <c r="K188" s="106"/>
      <c r="L188" s="106"/>
      <c r="M188" s="106"/>
      <c r="N188" s="108"/>
      <c r="O188" s="108" t="str">
        <f>IF(N188="","",IF('Event Dataset'!N188&lt;='Drop Downs and Assumptions'!$K$2,'Drop Downs and Assumptions'!$L$2,IF(AND('Event Dataset'!N188&gt;='Drop Downs and Assumptions'!$J$3,'Event Dataset'!N188&lt;='Drop Downs and Assumptions'!$K$3),'Drop Downs and Assumptions'!$L$3,IF(AND('Event Dataset'!N188&gt;='Drop Downs and Assumptions'!$J$4,'Event Dataset'!N188&lt;='Drop Downs and Assumptions'!$K$4),'Drop Downs and Assumptions'!$L$4,IF('Event Dataset'!N188&gt;='Drop Downs and Assumptions'!$J$5,'Drop Downs and Assumptions'!$L$5,"")))))</f>
        <v/>
      </c>
      <c r="P188" s="109"/>
      <c r="Q188" s="97"/>
      <c r="R188" s="110"/>
      <c r="S188" s="111"/>
      <c r="T188" s="111"/>
      <c r="U188" s="111"/>
      <c r="V188" s="111"/>
      <c r="W188" s="111"/>
      <c r="X188" s="111"/>
      <c r="Y188" s="111"/>
      <c r="Z188" s="111"/>
      <c r="AA188" s="111"/>
      <c r="AB188" s="111"/>
      <c r="AC188" s="112"/>
      <c r="AD188" s="113" t="str">
        <f t="shared" si="29"/>
        <v/>
      </c>
      <c r="AE188" s="114" t="str">
        <f t="shared" si="30"/>
        <v/>
      </c>
      <c r="AF188" s="115" t="str">
        <f t="shared" si="31"/>
        <v/>
      </c>
      <c r="AG188" s="116" t="str">
        <f t="shared" si="25"/>
        <v/>
      </c>
    </row>
    <row r="189" spans="1:33" x14ac:dyDescent="0.25">
      <c r="A189" s="16">
        <f t="shared" si="26"/>
        <v>186</v>
      </c>
      <c r="B189" s="31" t="str">
        <f t="shared" si="27"/>
        <v/>
      </c>
      <c r="C189" s="66" t="str">
        <f t="shared" si="28"/>
        <v/>
      </c>
      <c r="D189" s="92"/>
      <c r="E189" s="93"/>
      <c r="F189" s="93"/>
      <c r="G189" s="93"/>
      <c r="H189" s="94"/>
      <c r="I189" s="93"/>
      <c r="J189" s="93"/>
      <c r="K189" s="93"/>
      <c r="L189" s="93"/>
      <c r="M189" s="93"/>
      <c r="N189" s="95"/>
      <c r="O189" s="95" t="str">
        <f>IF(N189="","",IF('Event Dataset'!N189&lt;='Drop Downs and Assumptions'!$K$2,'Drop Downs and Assumptions'!$L$2,IF(AND('Event Dataset'!N189&gt;='Drop Downs and Assumptions'!$J$3,'Event Dataset'!N189&lt;='Drop Downs and Assumptions'!$K$3),'Drop Downs and Assumptions'!$L$3,IF(AND('Event Dataset'!N189&gt;='Drop Downs and Assumptions'!$J$4,'Event Dataset'!N189&lt;='Drop Downs and Assumptions'!$K$4),'Drop Downs and Assumptions'!$L$4,IF('Event Dataset'!N189&gt;='Drop Downs and Assumptions'!$J$5,'Drop Downs and Assumptions'!$L$5,"")))))</f>
        <v/>
      </c>
      <c r="P189" s="96"/>
      <c r="Q189" s="97"/>
      <c r="R189" s="98"/>
      <c r="S189" s="99"/>
      <c r="T189" s="99"/>
      <c r="U189" s="99"/>
      <c r="V189" s="99"/>
      <c r="W189" s="99"/>
      <c r="X189" s="99"/>
      <c r="Y189" s="99"/>
      <c r="Z189" s="99"/>
      <c r="AA189" s="99"/>
      <c r="AB189" s="99"/>
      <c r="AC189" s="100"/>
      <c r="AD189" s="101" t="str">
        <f t="shared" si="29"/>
        <v/>
      </c>
      <c r="AE189" s="102" t="str">
        <f t="shared" si="30"/>
        <v/>
      </c>
      <c r="AF189" s="103" t="str">
        <f t="shared" si="31"/>
        <v/>
      </c>
      <c r="AG189" s="104" t="str">
        <f t="shared" si="25"/>
        <v/>
      </c>
    </row>
    <row r="190" spans="1:33" x14ac:dyDescent="0.25">
      <c r="A190" s="4">
        <f t="shared" si="26"/>
        <v>187</v>
      </c>
      <c r="B190" s="30" t="str">
        <f t="shared" si="27"/>
        <v/>
      </c>
      <c r="C190" s="67" t="str">
        <f t="shared" si="28"/>
        <v/>
      </c>
      <c r="D190" s="105"/>
      <c r="E190" s="106"/>
      <c r="F190" s="106"/>
      <c r="G190" s="106"/>
      <c r="H190" s="107"/>
      <c r="I190" s="106"/>
      <c r="J190" s="106"/>
      <c r="K190" s="106"/>
      <c r="L190" s="106"/>
      <c r="M190" s="106"/>
      <c r="N190" s="108"/>
      <c r="O190" s="108" t="str">
        <f>IF(N190="","",IF('Event Dataset'!N190&lt;='Drop Downs and Assumptions'!$K$2,'Drop Downs and Assumptions'!$L$2,IF(AND('Event Dataset'!N190&gt;='Drop Downs and Assumptions'!$J$3,'Event Dataset'!N190&lt;='Drop Downs and Assumptions'!$K$3),'Drop Downs and Assumptions'!$L$3,IF(AND('Event Dataset'!N190&gt;='Drop Downs and Assumptions'!$J$4,'Event Dataset'!N190&lt;='Drop Downs and Assumptions'!$K$4),'Drop Downs and Assumptions'!$L$4,IF('Event Dataset'!N190&gt;='Drop Downs and Assumptions'!$J$5,'Drop Downs and Assumptions'!$L$5,"")))))</f>
        <v/>
      </c>
      <c r="P190" s="109"/>
      <c r="Q190" s="97"/>
      <c r="R190" s="110"/>
      <c r="S190" s="111"/>
      <c r="T190" s="111"/>
      <c r="U190" s="111"/>
      <c r="V190" s="111"/>
      <c r="W190" s="111"/>
      <c r="X190" s="111"/>
      <c r="Y190" s="111"/>
      <c r="Z190" s="111"/>
      <c r="AA190" s="111"/>
      <c r="AB190" s="111"/>
      <c r="AC190" s="112"/>
      <c r="AD190" s="113" t="str">
        <f t="shared" si="29"/>
        <v/>
      </c>
      <c r="AE190" s="114" t="str">
        <f t="shared" si="30"/>
        <v/>
      </c>
      <c r="AF190" s="115" t="str">
        <f t="shared" si="31"/>
        <v/>
      </c>
      <c r="AG190" s="116" t="str">
        <f t="shared" si="25"/>
        <v/>
      </c>
    </row>
    <row r="191" spans="1:33" x14ac:dyDescent="0.25">
      <c r="A191" s="16">
        <f t="shared" si="26"/>
        <v>188</v>
      </c>
      <c r="B191" s="31" t="str">
        <f t="shared" si="27"/>
        <v/>
      </c>
      <c r="C191" s="66" t="str">
        <f t="shared" si="28"/>
        <v/>
      </c>
      <c r="D191" s="92"/>
      <c r="E191" s="93"/>
      <c r="F191" s="93"/>
      <c r="G191" s="93"/>
      <c r="H191" s="94"/>
      <c r="I191" s="93"/>
      <c r="J191" s="93"/>
      <c r="K191" s="93"/>
      <c r="L191" s="93"/>
      <c r="M191" s="93"/>
      <c r="N191" s="95"/>
      <c r="O191" s="95" t="str">
        <f>IF(N191="","",IF('Event Dataset'!N191&lt;='Drop Downs and Assumptions'!$K$2,'Drop Downs and Assumptions'!$L$2,IF(AND('Event Dataset'!N191&gt;='Drop Downs and Assumptions'!$J$3,'Event Dataset'!N191&lt;='Drop Downs and Assumptions'!$K$3),'Drop Downs and Assumptions'!$L$3,IF(AND('Event Dataset'!N191&gt;='Drop Downs and Assumptions'!$J$4,'Event Dataset'!N191&lt;='Drop Downs and Assumptions'!$K$4),'Drop Downs and Assumptions'!$L$4,IF('Event Dataset'!N191&gt;='Drop Downs and Assumptions'!$J$5,'Drop Downs and Assumptions'!$L$5,"")))))</f>
        <v/>
      </c>
      <c r="P191" s="96"/>
      <c r="Q191" s="97"/>
      <c r="R191" s="98"/>
      <c r="S191" s="99"/>
      <c r="T191" s="99"/>
      <c r="U191" s="99"/>
      <c r="V191" s="99"/>
      <c r="W191" s="99"/>
      <c r="X191" s="99"/>
      <c r="Y191" s="99"/>
      <c r="Z191" s="99"/>
      <c r="AA191" s="99"/>
      <c r="AB191" s="99"/>
      <c r="AC191" s="100"/>
      <c r="AD191" s="101" t="str">
        <f t="shared" si="29"/>
        <v/>
      </c>
      <c r="AE191" s="102" t="str">
        <f t="shared" si="30"/>
        <v/>
      </c>
      <c r="AF191" s="103" t="str">
        <f t="shared" si="31"/>
        <v/>
      </c>
      <c r="AG191" s="104" t="str">
        <f t="shared" si="25"/>
        <v/>
      </c>
    </row>
    <row r="192" spans="1:33" x14ac:dyDescent="0.25">
      <c r="A192" s="4">
        <f t="shared" si="26"/>
        <v>189</v>
      </c>
      <c r="B192" s="30" t="str">
        <f t="shared" si="27"/>
        <v/>
      </c>
      <c r="C192" s="67" t="str">
        <f t="shared" si="28"/>
        <v/>
      </c>
      <c r="D192" s="105"/>
      <c r="E192" s="106"/>
      <c r="F192" s="106"/>
      <c r="G192" s="106"/>
      <c r="H192" s="107"/>
      <c r="I192" s="106"/>
      <c r="J192" s="106"/>
      <c r="K192" s="106"/>
      <c r="L192" s="106"/>
      <c r="M192" s="106"/>
      <c r="N192" s="108"/>
      <c r="O192" s="108" t="str">
        <f>IF(N192="","",IF('Event Dataset'!N192&lt;='Drop Downs and Assumptions'!$K$2,'Drop Downs and Assumptions'!$L$2,IF(AND('Event Dataset'!N192&gt;='Drop Downs and Assumptions'!$J$3,'Event Dataset'!N192&lt;='Drop Downs and Assumptions'!$K$3),'Drop Downs and Assumptions'!$L$3,IF(AND('Event Dataset'!N192&gt;='Drop Downs and Assumptions'!$J$4,'Event Dataset'!N192&lt;='Drop Downs and Assumptions'!$K$4),'Drop Downs and Assumptions'!$L$4,IF('Event Dataset'!N192&gt;='Drop Downs and Assumptions'!$J$5,'Drop Downs and Assumptions'!$L$5,"")))))</f>
        <v/>
      </c>
      <c r="P192" s="109"/>
      <c r="Q192" s="97"/>
      <c r="R192" s="110"/>
      <c r="S192" s="111"/>
      <c r="T192" s="111"/>
      <c r="U192" s="111"/>
      <c r="V192" s="111"/>
      <c r="W192" s="111"/>
      <c r="X192" s="111"/>
      <c r="Y192" s="111"/>
      <c r="Z192" s="111"/>
      <c r="AA192" s="111"/>
      <c r="AB192" s="111"/>
      <c r="AC192" s="112"/>
      <c r="AD192" s="113" t="str">
        <f t="shared" si="29"/>
        <v/>
      </c>
      <c r="AE192" s="114" t="str">
        <f t="shared" si="30"/>
        <v/>
      </c>
      <c r="AF192" s="115" t="str">
        <f t="shared" si="31"/>
        <v/>
      </c>
      <c r="AG192" s="116" t="str">
        <f t="shared" si="25"/>
        <v/>
      </c>
    </row>
    <row r="193" spans="1:33" x14ac:dyDescent="0.25">
      <c r="A193" s="16">
        <f t="shared" si="26"/>
        <v>190</v>
      </c>
      <c r="B193" s="31" t="str">
        <f t="shared" si="27"/>
        <v/>
      </c>
      <c r="C193" s="66" t="str">
        <f t="shared" si="28"/>
        <v/>
      </c>
      <c r="D193" s="92"/>
      <c r="E193" s="93"/>
      <c r="F193" s="93"/>
      <c r="G193" s="93"/>
      <c r="H193" s="94"/>
      <c r="I193" s="93"/>
      <c r="J193" s="93"/>
      <c r="K193" s="93"/>
      <c r="L193" s="93"/>
      <c r="M193" s="93"/>
      <c r="N193" s="95"/>
      <c r="O193" s="95" t="str">
        <f>IF(N193="","",IF('Event Dataset'!N193&lt;='Drop Downs and Assumptions'!$K$2,'Drop Downs and Assumptions'!$L$2,IF(AND('Event Dataset'!N193&gt;='Drop Downs and Assumptions'!$J$3,'Event Dataset'!N193&lt;='Drop Downs and Assumptions'!$K$3),'Drop Downs and Assumptions'!$L$3,IF(AND('Event Dataset'!N193&gt;='Drop Downs and Assumptions'!$J$4,'Event Dataset'!N193&lt;='Drop Downs and Assumptions'!$K$4),'Drop Downs and Assumptions'!$L$4,IF('Event Dataset'!N193&gt;='Drop Downs and Assumptions'!$J$5,'Drop Downs and Assumptions'!$L$5,"")))))</f>
        <v/>
      </c>
      <c r="P193" s="96"/>
      <c r="Q193" s="97"/>
      <c r="R193" s="98"/>
      <c r="S193" s="99"/>
      <c r="T193" s="99"/>
      <c r="U193" s="99"/>
      <c r="V193" s="99"/>
      <c r="W193" s="99"/>
      <c r="X193" s="99"/>
      <c r="Y193" s="99"/>
      <c r="Z193" s="99"/>
      <c r="AA193" s="99"/>
      <c r="AB193" s="99"/>
      <c r="AC193" s="100"/>
      <c r="AD193" s="101" t="str">
        <f t="shared" si="29"/>
        <v/>
      </c>
      <c r="AE193" s="102" t="str">
        <f t="shared" si="30"/>
        <v/>
      </c>
      <c r="AF193" s="103" t="str">
        <f t="shared" si="31"/>
        <v/>
      </c>
      <c r="AG193" s="104" t="str">
        <f t="shared" si="25"/>
        <v/>
      </c>
    </row>
    <row r="194" spans="1:33" x14ac:dyDescent="0.25">
      <c r="A194" s="4">
        <f t="shared" si="26"/>
        <v>191</v>
      </c>
      <c r="B194" s="30" t="str">
        <f t="shared" si="27"/>
        <v/>
      </c>
      <c r="C194" s="67" t="str">
        <f t="shared" si="28"/>
        <v/>
      </c>
      <c r="D194" s="105"/>
      <c r="E194" s="106"/>
      <c r="F194" s="106"/>
      <c r="G194" s="106"/>
      <c r="H194" s="107"/>
      <c r="I194" s="106"/>
      <c r="J194" s="106"/>
      <c r="K194" s="106"/>
      <c r="L194" s="106"/>
      <c r="M194" s="106"/>
      <c r="N194" s="108"/>
      <c r="O194" s="108" t="str">
        <f>IF(N194="","",IF('Event Dataset'!N194&lt;='Drop Downs and Assumptions'!$K$2,'Drop Downs and Assumptions'!$L$2,IF(AND('Event Dataset'!N194&gt;='Drop Downs and Assumptions'!$J$3,'Event Dataset'!N194&lt;='Drop Downs and Assumptions'!$K$3),'Drop Downs and Assumptions'!$L$3,IF(AND('Event Dataset'!N194&gt;='Drop Downs and Assumptions'!$J$4,'Event Dataset'!N194&lt;='Drop Downs and Assumptions'!$K$4),'Drop Downs and Assumptions'!$L$4,IF('Event Dataset'!N194&gt;='Drop Downs and Assumptions'!$J$5,'Drop Downs and Assumptions'!$L$5,"")))))</f>
        <v/>
      </c>
      <c r="P194" s="109"/>
      <c r="Q194" s="97"/>
      <c r="R194" s="110"/>
      <c r="S194" s="111"/>
      <c r="T194" s="111"/>
      <c r="U194" s="111"/>
      <c r="V194" s="111"/>
      <c r="W194" s="111"/>
      <c r="X194" s="111"/>
      <c r="Y194" s="111"/>
      <c r="Z194" s="111"/>
      <c r="AA194" s="111"/>
      <c r="AB194" s="111"/>
      <c r="AC194" s="112"/>
      <c r="AD194" s="113" t="str">
        <f t="shared" si="29"/>
        <v/>
      </c>
      <c r="AE194" s="114" t="str">
        <f t="shared" si="30"/>
        <v/>
      </c>
      <c r="AF194" s="115" t="str">
        <f t="shared" si="31"/>
        <v/>
      </c>
      <c r="AG194" s="116" t="str">
        <f t="shared" si="25"/>
        <v/>
      </c>
    </row>
    <row r="195" spans="1:33" x14ac:dyDescent="0.25">
      <c r="A195" s="16">
        <f t="shared" si="26"/>
        <v>192</v>
      </c>
      <c r="B195" s="31" t="str">
        <f t="shared" si="27"/>
        <v/>
      </c>
      <c r="C195" s="66" t="str">
        <f t="shared" si="28"/>
        <v/>
      </c>
      <c r="D195" s="92"/>
      <c r="E195" s="93"/>
      <c r="F195" s="93"/>
      <c r="G195" s="93"/>
      <c r="H195" s="94"/>
      <c r="I195" s="93"/>
      <c r="J195" s="93"/>
      <c r="K195" s="93"/>
      <c r="L195" s="93"/>
      <c r="M195" s="93"/>
      <c r="N195" s="95"/>
      <c r="O195" s="95" t="str">
        <f>IF(N195="","",IF('Event Dataset'!N195&lt;='Drop Downs and Assumptions'!$K$2,'Drop Downs and Assumptions'!$L$2,IF(AND('Event Dataset'!N195&gt;='Drop Downs and Assumptions'!$J$3,'Event Dataset'!N195&lt;='Drop Downs and Assumptions'!$K$3),'Drop Downs and Assumptions'!$L$3,IF(AND('Event Dataset'!N195&gt;='Drop Downs and Assumptions'!$J$4,'Event Dataset'!N195&lt;='Drop Downs and Assumptions'!$K$4),'Drop Downs and Assumptions'!$L$4,IF('Event Dataset'!N195&gt;='Drop Downs and Assumptions'!$J$5,'Drop Downs and Assumptions'!$L$5,"")))))</f>
        <v/>
      </c>
      <c r="P195" s="96"/>
      <c r="Q195" s="97"/>
      <c r="R195" s="98"/>
      <c r="S195" s="99"/>
      <c r="T195" s="99"/>
      <c r="U195" s="99"/>
      <c r="V195" s="99"/>
      <c r="W195" s="99"/>
      <c r="X195" s="99"/>
      <c r="Y195" s="99"/>
      <c r="Z195" s="99"/>
      <c r="AA195" s="99"/>
      <c r="AB195" s="99"/>
      <c r="AC195" s="100"/>
      <c r="AD195" s="101" t="str">
        <f t="shared" si="29"/>
        <v/>
      </c>
      <c r="AE195" s="102" t="str">
        <f t="shared" si="30"/>
        <v/>
      </c>
      <c r="AF195" s="103" t="str">
        <f t="shared" si="31"/>
        <v/>
      </c>
      <c r="AG195" s="104" t="str">
        <f t="shared" si="25"/>
        <v/>
      </c>
    </row>
    <row r="196" spans="1:33" x14ac:dyDescent="0.25">
      <c r="A196" s="4">
        <f t="shared" si="26"/>
        <v>193</v>
      </c>
      <c r="B196" s="30" t="str">
        <f t="shared" si="27"/>
        <v/>
      </c>
      <c r="C196" s="67" t="str">
        <f t="shared" si="28"/>
        <v/>
      </c>
      <c r="D196" s="105"/>
      <c r="E196" s="106"/>
      <c r="F196" s="106"/>
      <c r="G196" s="106"/>
      <c r="H196" s="107"/>
      <c r="I196" s="106"/>
      <c r="J196" s="106"/>
      <c r="K196" s="106"/>
      <c r="L196" s="106"/>
      <c r="M196" s="106"/>
      <c r="N196" s="108"/>
      <c r="O196" s="108" t="str">
        <f>IF(N196="","",IF('Event Dataset'!N196&lt;='Drop Downs and Assumptions'!$K$2,'Drop Downs and Assumptions'!$L$2,IF(AND('Event Dataset'!N196&gt;='Drop Downs and Assumptions'!$J$3,'Event Dataset'!N196&lt;='Drop Downs and Assumptions'!$K$3),'Drop Downs and Assumptions'!$L$3,IF(AND('Event Dataset'!N196&gt;='Drop Downs and Assumptions'!$J$4,'Event Dataset'!N196&lt;='Drop Downs and Assumptions'!$K$4),'Drop Downs and Assumptions'!$L$4,IF('Event Dataset'!N196&gt;='Drop Downs and Assumptions'!$J$5,'Drop Downs and Assumptions'!$L$5,"")))))</f>
        <v/>
      </c>
      <c r="P196" s="109"/>
      <c r="Q196" s="97"/>
      <c r="R196" s="110"/>
      <c r="S196" s="111"/>
      <c r="T196" s="111"/>
      <c r="U196" s="111"/>
      <c r="V196" s="111"/>
      <c r="W196" s="111"/>
      <c r="X196" s="111"/>
      <c r="Y196" s="111"/>
      <c r="Z196" s="111"/>
      <c r="AA196" s="111"/>
      <c r="AB196" s="111"/>
      <c r="AC196" s="112"/>
      <c r="AD196" s="113" t="str">
        <f t="shared" si="29"/>
        <v/>
      </c>
      <c r="AE196" s="114" t="str">
        <f t="shared" si="30"/>
        <v/>
      </c>
      <c r="AF196" s="115" t="str">
        <f t="shared" si="31"/>
        <v/>
      </c>
      <c r="AG196" s="116" t="str">
        <f t="shared" ref="AG196:AG259" si="32">IFERROR((AD196-AC196)*1000/P196/N196,"")</f>
        <v/>
      </c>
    </row>
    <row r="197" spans="1:33" x14ac:dyDescent="0.25">
      <c r="A197" s="16">
        <f t="shared" ref="A197:A260" si="33">A196+1</f>
        <v>194</v>
      </c>
      <c r="B197" s="31" t="str">
        <f t="shared" ref="B197:B260" si="34">IFERROR(RANK(AF197,$AF$4:$AF$470,0),"")</f>
        <v/>
      </c>
      <c r="C197" s="66" t="str">
        <f t="shared" si="28"/>
        <v/>
      </c>
      <c r="D197" s="92"/>
      <c r="E197" s="93"/>
      <c r="F197" s="93"/>
      <c r="G197" s="93"/>
      <c r="H197" s="94"/>
      <c r="I197" s="93"/>
      <c r="J197" s="93"/>
      <c r="K197" s="93"/>
      <c r="L197" s="93"/>
      <c r="M197" s="93"/>
      <c r="N197" s="95"/>
      <c r="O197" s="95" t="str">
        <f>IF(N197="","",IF('Event Dataset'!N197&lt;='Drop Downs and Assumptions'!$K$2,'Drop Downs and Assumptions'!$L$2,IF(AND('Event Dataset'!N197&gt;='Drop Downs and Assumptions'!$J$3,'Event Dataset'!N197&lt;='Drop Downs and Assumptions'!$K$3),'Drop Downs and Assumptions'!$L$3,IF(AND('Event Dataset'!N197&gt;='Drop Downs and Assumptions'!$J$4,'Event Dataset'!N197&lt;='Drop Downs and Assumptions'!$K$4),'Drop Downs and Assumptions'!$L$4,IF('Event Dataset'!N197&gt;='Drop Downs and Assumptions'!$J$5,'Drop Downs and Assumptions'!$L$5,"")))))</f>
        <v/>
      </c>
      <c r="P197" s="96"/>
      <c r="Q197" s="97"/>
      <c r="R197" s="98"/>
      <c r="S197" s="99"/>
      <c r="T197" s="99"/>
      <c r="U197" s="99"/>
      <c r="V197" s="99"/>
      <c r="W197" s="99"/>
      <c r="X197" s="99"/>
      <c r="Y197" s="99"/>
      <c r="Z197" s="99"/>
      <c r="AA197" s="99"/>
      <c r="AB197" s="99"/>
      <c r="AC197" s="100"/>
      <c r="AD197" s="101" t="str">
        <f t="shared" si="29"/>
        <v/>
      </c>
      <c r="AE197" s="102" t="str">
        <f t="shared" si="30"/>
        <v/>
      </c>
      <c r="AF197" s="103" t="str">
        <f t="shared" si="31"/>
        <v/>
      </c>
      <c r="AG197" s="104" t="str">
        <f t="shared" si="32"/>
        <v/>
      </c>
    </row>
    <row r="198" spans="1:33" x14ac:dyDescent="0.25">
      <c r="A198" s="4">
        <f t="shared" si="33"/>
        <v>195</v>
      </c>
      <c r="B198" s="30" t="str">
        <f t="shared" si="34"/>
        <v/>
      </c>
      <c r="C198" s="67" t="str">
        <f t="shared" si="28"/>
        <v/>
      </c>
      <c r="D198" s="105"/>
      <c r="E198" s="106"/>
      <c r="F198" s="106"/>
      <c r="G198" s="106"/>
      <c r="H198" s="107"/>
      <c r="I198" s="106"/>
      <c r="J198" s="106"/>
      <c r="K198" s="106"/>
      <c r="L198" s="106"/>
      <c r="M198" s="106"/>
      <c r="N198" s="108"/>
      <c r="O198" s="108" t="str">
        <f>IF(N198="","",IF('Event Dataset'!N198&lt;='Drop Downs and Assumptions'!$K$2,'Drop Downs and Assumptions'!$L$2,IF(AND('Event Dataset'!N198&gt;='Drop Downs and Assumptions'!$J$3,'Event Dataset'!N198&lt;='Drop Downs and Assumptions'!$K$3),'Drop Downs and Assumptions'!$L$3,IF(AND('Event Dataset'!N198&gt;='Drop Downs and Assumptions'!$J$4,'Event Dataset'!N198&lt;='Drop Downs and Assumptions'!$K$4),'Drop Downs and Assumptions'!$L$4,IF('Event Dataset'!N198&gt;='Drop Downs and Assumptions'!$J$5,'Drop Downs and Assumptions'!$L$5,"")))))</f>
        <v/>
      </c>
      <c r="P198" s="109"/>
      <c r="Q198" s="97"/>
      <c r="R198" s="110"/>
      <c r="S198" s="111"/>
      <c r="T198" s="111"/>
      <c r="U198" s="111"/>
      <c r="V198" s="111"/>
      <c r="W198" s="111"/>
      <c r="X198" s="111"/>
      <c r="Y198" s="111"/>
      <c r="Z198" s="111"/>
      <c r="AA198" s="111"/>
      <c r="AB198" s="111"/>
      <c r="AC198" s="112"/>
      <c r="AD198" s="113" t="str">
        <f t="shared" si="29"/>
        <v/>
      </c>
      <c r="AE198" s="114" t="str">
        <f t="shared" si="30"/>
        <v/>
      </c>
      <c r="AF198" s="115" t="str">
        <f t="shared" si="31"/>
        <v/>
      </c>
      <c r="AG198" s="116" t="str">
        <f t="shared" si="32"/>
        <v/>
      </c>
    </row>
    <row r="199" spans="1:33" x14ac:dyDescent="0.25">
      <c r="A199" s="16">
        <f t="shared" si="33"/>
        <v>196</v>
      </c>
      <c r="B199" s="31" t="str">
        <f t="shared" si="34"/>
        <v/>
      </c>
      <c r="C199" s="66" t="str">
        <f t="shared" si="28"/>
        <v/>
      </c>
      <c r="D199" s="92"/>
      <c r="E199" s="93"/>
      <c r="F199" s="93"/>
      <c r="G199" s="93"/>
      <c r="H199" s="94"/>
      <c r="I199" s="93"/>
      <c r="J199" s="93"/>
      <c r="K199" s="93"/>
      <c r="L199" s="93"/>
      <c r="M199" s="93"/>
      <c r="N199" s="95"/>
      <c r="O199" s="95" t="str">
        <f>IF(N199="","",IF('Event Dataset'!N199&lt;='Drop Downs and Assumptions'!$K$2,'Drop Downs and Assumptions'!$L$2,IF(AND('Event Dataset'!N199&gt;='Drop Downs and Assumptions'!$J$3,'Event Dataset'!N199&lt;='Drop Downs and Assumptions'!$K$3),'Drop Downs and Assumptions'!$L$3,IF(AND('Event Dataset'!N199&gt;='Drop Downs and Assumptions'!$J$4,'Event Dataset'!N199&lt;='Drop Downs and Assumptions'!$K$4),'Drop Downs and Assumptions'!$L$4,IF('Event Dataset'!N199&gt;='Drop Downs and Assumptions'!$J$5,'Drop Downs and Assumptions'!$L$5,"")))))</f>
        <v/>
      </c>
      <c r="P199" s="96"/>
      <c r="Q199" s="97"/>
      <c r="R199" s="98"/>
      <c r="S199" s="99"/>
      <c r="T199" s="99"/>
      <c r="U199" s="99"/>
      <c r="V199" s="99"/>
      <c r="W199" s="99"/>
      <c r="X199" s="99"/>
      <c r="Y199" s="99"/>
      <c r="Z199" s="99"/>
      <c r="AA199" s="99"/>
      <c r="AB199" s="99"/>
      <c r="AC199" s="100"/>
      <c r="AD199" s="101" t="str">
        <f t="shared" si="29"/>
        <v/>
      </c>
      <c r="AE199" s="102" t="str">
        <f t="shared" si="30"/>
        <v/>
      </c>
      <c r="AF199" s="103" t="str">
        <f t="shared" si="31"/>
        <v/>
      </c>
      <c r="AG199" s="104" t="str">
        <f t="shared" si="32"/>
        <v/>
      </c>
    </row>
    <row r="200" spans="1:33" x14ac:dyDescent="0.25">
      <c r="A200" s="4">
        <f t="shared" si="33"/>
        <v>197</v>
      </c>
      <c r="B200" s="30" t="str">
        <f t="shared" si="34"/>
        <v/>
      </c>
      <c r="C200" s="67" t="str">
        <f t="shared" si="28"/>
        <v/>
      </c>
      <c r="D200" s="105"/>
      <c r="E200" s="106"/>
      <c r="F200" s="106"/>
      <c r="G200" s="106"/>
      <c r="H200" s="107"/>
      <c r="I200" s="106"/>
      <c r="J200" s="106"/>
      <c r="K200" s="106"/>
      <c r="L200" s="106"/>
      <c r="M200" s="106"/>
      <c r="N200" s="108"/>
      <c r="O200" s="108" t="str">
        <f>IF(N200="","",IF('Event Dataset'!N200&lt;='Drop Downs and Assumptions'!$K$2,'Drop Downs and Assumptions'!$L$2,IF(AND('Event Dataset'!N200&gt;='Drop Downs and Assumptions'!$J$3,'Event Dataset'!N200&lt;='Drop Downs and Assumptions'!$K$3),'Drop Downs and Assumptions'!$L$3,IF(AND('Event Dataset'!N200&gt;='Drop Downs and Assumptions'!$J$4,'Event Dataset'!N200&lt;='Drop Downs and Assumptions'!$K$4),'Drop Downs and Assumptions'!$L$4,IF('Event Dataset'!N200&gt;='Drop Downs and Assumptions'!$J$5,'Drop Downs and Assumptions'!$L$5,"")))))</f>
        <v/>
      </c>
      <c r="P200" s="109"/>
      <c r="Q200" s="97"/>
      <c r="R200" s="110"/>
      <c r="S200" s="111"/>
      <c r="T200" s="111"/>
      <c r="U200" s="111"/>
      <c r="V200" s="111"/>
      <c r="W200" s="111"/>
      <c r="X200" s="111"/>
      <c r="Y200" s="111"/>
      <c r="Z200" s="111"/>
      <c r="AA200" s="111"/>
      <c r="AB200" s="111"/>
      <c r="AC200" s="112"/>
      <c r="AD200" s="113" t="str">
        <f t="shared" si="29"/>
        <v/>
      </c>
      <c r="AE200" s="114" t="str">
        <f t="shared" si="30"/>
        <v/>
      </c>
      <c r="AF200" s="115" t="str">
        <f t="shared" si="31"/>
        <v/>
      </c>
      <c r="AG200" s="116" t="str">
        <f t="shared" si="32"/>
        <v/>
      </c>
    </row>
    <row r="201" spans="1:33" x14ac:dyDescent="0.25">
      <c r="A201" s="16">
        <f t="shared" si="33"/>
        <v>198</v>
      </c>
      <c r="B201" s="31" t="str">
        <f t="shared" si="34"/>
        <v/>
      </c>
      <c r="C201" s="66" t="str">
        <f t="shared" si="28"/>
        <v/>
      </c>
      <c r="D201" s="92"/>
      <c r="E201" s="93"/>
      <c r="F201" s="93"/>
      <c r="G201" s="93"/>
      <c r="H201" s="94"/>
      <c r="I201" s="93"/>
      <c r="J201" s="93"/>
      <c r="K201" s="93"/>
      <c r="L201" s="93"/>
      <c r="M201" s="93"/>
      <c r="N201" s="95"/>
      <c r="O201" s="95" t="str">
        <f>IF(N201="","",IF('Event Dataset'!N201&lt;='Drop Downs and Assumptions'!$K$2,'Drop Downs and Assumptions'!$L$2,IF(AND('Event Dataset'!N201&gt;='Drop Downs and Assumptions'!$J$3,'Event Dataset'!N201&lt;='Drop Downs and Assumptions'!$K$3),'Drop Downs and Assumptions'!$L$3,IF(AND('Event Dataset'!N201&gt;='Drop Downs and Assumptions'!$J$4,'Event Dataset'!N201&lt;='Drop Downs and Assumptions'!$K$4),'Drop Downs and Assumptions'!$L$4,IF('Event Dataset'!N201&gt;='Drop Downs and Assumptions'!$J$5,'Drop Downs and Assumptions'!$L$5,"")))))</f>
        <v/>
      </c>
      <c r="P201" s="96"/>
      <c r="Q201" s="97"/>
      <c r="R201" s="98"/>
      <c r="S201" s="99"/>
      <c r="T201" s="99"/>
      <c r="U201" s="99"/>
      <c r="V201" s="99"/>
      <c r="W201" s="99"/>
      <c r="X201" s="99"/>
      <c r="Y201" s="99"/>
      <c r="Z201" s="99"/>
      <c r="AA201" s="99"/>
      <c r="AB201" s="99"/>
      <c r="AC201" s="100"/>
      <c r="AD201" s="101" t="str">
        <f t="shared" si="29"/>
        <v/>
      </c>
      <c r="AE201" s="102" t="str">
        <f t="shared" si="30"/>
        <v/>
      </c>
      <c r="AF201" s="103" t="str">
        <f t="shared" si="31"/>
        <v/>
      </c>
      <c r="AG201" s="104" t="str">
        <f t="shared" si="32"/>
        <v/>
      </c>
    </row>
    <row r="202" spans="1:33" x14ac:dyDescent="0.25">
      <c r="A202" s="4">
        <f t="shared" si="33"/>
        <v>199</v>
      </c>
      <c r="B202" s="30" t="str">
        <f t="shared" si="34"/>
        <v/>
      </c>
      <c r="C202" s="67" t="str">
        <f t="shared" si="28"/>
        <v/>
      </c>
      <c r="D202" s="105"/>
      <c r="E202" s="106"/>
      <c r="F202" s="106"/>
      <c r="G202" s="106"/>
      <c r="H202" s="107"/>
      <c r="I202" s="106"/>
      <c r="J202" s="106"/>
      <c r="K202" s="106"/>
      <c r="L202" s="106"/>
      <c r="M202" s="106"/>
      <c r="N202" s="108"/>
      <c r="O202" s="108" t="str">
        <f>IF(N202="","",IF('Event Dataset'!N202&lt;='Drop Downs and Assumptions'!$K$2,'Drop Downs and Assumptions'!$L$2,IF(AND('Event Dataset'!N202&gt;='Drop Downs and Assumptions'!$J$3,'Event Dataset'!N202&lt;='Drop Downs and Assumptions'!$K$3),'Drop Downs and Assumptions'!$L$3,IF(AND('Event Dataset'!N202&gt;='Drop Downs and Assumptions'!$J$4,'Event Dataset'!N202&lt;='Drop Downs and Assumptions'!$K$4),'Drop Downs and Assumptions'!$L$4,IF('Event Dataset'!N202&gt;='Drop Downs and Assumptions'!$J$5,'Drop Downs and Assumptions'!$L$5,"")))))</f>
        <v/>
      </c>
      <c r="P202" s="109"/>
      <c r="Q202" s="97"/>
      <c r="R202" s="110"/>
      <c r="S202" s="111"/>
      <c r="T202" s="111"/>
      <c r="U202" s="111"/>
      <c r="V202" s="111"/>
      <c r="W202" s="111"/>
      <c r="X202" s="111"/>
      <c r="Y202" s="111"/>
      <c r="Z202" s="111"/>
      <c r="AA202" s="111"/>
      <c r="AB202" s="111"/>
      <c r="AC202" s="112"/>
      <c r="AD202" s="113" t="str">
        <f t="shared" si="29"/>
        <v/>
      </c>
      <c r="AE202" s="114" t="str">
        <f t="shared" si="30"/>
        <v/>
      </c>
      <c r="AF202" s="115" t="str">
        <f t="shared" si="31"/>
        <v/>
      </c>
      <c r="AG202" s="116" t="str">
        <f t="shared" si="32"/>
        <v/>
      </c>
    </row>
    <row r="203" spans="1:33" x14ac:dyDescent="0.25">
      <c r="A203" s="16">
        <f t="shared" si="33"/>
        <v>200</v>
      </c>
      <c r="B203" s="31" t="str">
        <f t="shared" si="34"/>
        <v/>
      </c>
      <c r="C203" s="66" t="str">
        <f t="shared" si="28"/>
        <v/>
      </c>
      <c r="D203" s="92"/>
      <c r="E203" s="93"/>
      <c r="F203" s="93"/>
      <c r="G203" s="93"/>
      <c r="H203" s="94"/>
      <c r="I203" s="93"/>
      <c r="J203" s="93"/>
      <c r="K203" s="93"/>
      <c r="L203" s="93"/>
      <c r="M203" s="93"/>
      <c r="N203" s="95"/>
      <c r="O203" s="95" t="str">
        <f>IF(N203="","",IF('Event Dataset'!N203&lt;='Drop Downs and Assumptions'!$K$2,'Drop Downs and Assumptions'!$L$2,IF(AND('Event Dataset'!N203&gt;='Drop Downs and Assumptions'!$J$3,'Event Dataset'!N203&lt;='Drop Downs and Assumptions'!$K$3),'Drop Downs and Assumptions'!$L$3,IF(AND('Event Dataset'!N203&gt;='Drop Downs and Assumptions'!$J$4,'Event Dataset'!N203&lt;='Drop Downs and Assumptions'!$K$4),'Drop Downs and Assumptions'!$L$4,IF('Event Dataset'!N203&gt;='Drop Downs and Assumptions'!$J$5,'Drop Downs and Assumptions'!$L$5,"")))))</f>
        <v/>
      </c>
      <c r="P203" s="96"/>
      <c r="Q203" s="97"/>
      <c r="R203" s="98"/>
      <c r="S203" s="99"/>
      <c r="T203" s="99"/>
      <c r="U203" s="99"/>
      <c r="V203" s="99"/>
      <c r="W203" s="99"/>
      <c r="X203" s="99"/>
      <c r="Y203" s="99"/>
      <c r="Z203" s="99"/>
      <c r="AA203" s="99"/>
      <c r="AB203" s="99"/>
      <c r="AC203" s="100"/>
      <c r="AD203" s="101" t="str">
        <f t="shared" si="29"/>
        <v/>
      </c>
      <c r="AE203" s="102" t="str">
        <f t="shared" si="30"/>
        <v/>
      </c>
      <c r="AF203" s="103" t="str">
        <f t="shared" si="31"/>
        <v/>
      </c>
      <c r="AG203" s="104" t="str">
        <f t="shared" si="32"/>
        <v/>
      </c>
    </row>
    <row r="204" spans="1:33" x14ac:dyDescent="0.25">
      <c r="A204" s="4">
        <f t="shared" si="33"/>
        <v>201</v>
      </c>
      <c r="B204" s="30" t="str">
        <f t="shared" si="34"/>
        <v/>
      </c>
      <c r="C204" s="67" t="str">
        <f t="shared" si="28"/>
        <v/>
      </c>
      <c r="D204" s="105"/>
      <c r="E204" s="106"/>
      <c r="F204" s="106"/>
      <c r="G204" s="106"/>
      <c r="H204" s="107"/>
      <c r="I204" s="106"/>
      <c r="J204" s="106"/>
      <c r="K204" s="106"/>
      <c r="L204" s="106"/>
      <c r="M204" s="106"/>
      <c r="N204" s="108"/>
      <c r="O204" s="108" t="str">
        <f>IF(N204="","",IF('Event Dataset'!N204&lt;='Drop Downs and Assumptions'!$K$2,'Drop Downs and Assumptions'!$L$2,IF(AND('Event Dataset'!N204&gt;='Drop Downs and Assumptions'!$J$3,'Event Dataset'!N204&lt;='Drop Downs and Assumptions'!$K$3),'Drop Downs and Assumptions'!$L$3,IF(AND('Event Dataset'!N204&gt;='Drop Downs and Assumptions'!$J$4,'Event Dataset'!N204&lt;='Drop Downs and Assumptions'!$K$4),'Drop Downs and Assumptions'!$L$4,IF('Event Dataset'!N204&gt;='Drop Downs and Assumptions'!$J$5,'Drop Downs and Assumptions'!$L$5,"")))))</f>
        <v/>
      </c>
      <c r="P204" s="109"/>
      <c r="Q204" s="97"/>
      <c r="R204" s="110"/>
      <c r="S204" s="111"/>
      <c r="T204" s="111"/>
      <c r="U204" s="111"/>
      <c r="V204" s="111"/>
      <c r="W204" s="111"/>
      <c r="X204" s="111"/>
      <c r="Y204" s="111"/>
      <c r="Z204" s="111"/>
      <c r="AA204" s="111"/>
      <c r="AB204" s="111"/>
      <c r="AC204" s="112"/>
      <c r="AD204" s="113" t="str">
        <f t="shared" si="29"/>
        <v/>
      </c>
      <c r="AE204" s="114" t="str">
        <f t="shared" si="30"/>
        <v/>
      </c>
      <c r="AF204" s="115" t="str">
        <f t="shared" si="31"/>
        <v/>
      </c>
      <c r="AG204" s="116" t="str">
        <f t="shared" si="32"/>
        <v/>
      </c>
    </row>
    <row r="205" spans="1:33" x14ac:dyDescent="0.25">
      <c r="A205" s="16">
        <f t="shared" si="33"/>
        <v>202</v>
      </c>
      <c r="B205" s="31" t="str">
        <f t="shared" si="34"/>
        <v/>
      </c>
      <c r="C205" s="66" t="str">
        <f t="shared" si="28"/>
        <v/>
      </c>
      <c r="D205" s="92"/>
      <c r="E205" s="93"/>
      <c r="F205" s="93"/>
      <c r="G205" s="93"/>
      <c r="H205" s="94"/>
      <c r="I205" s="93"/>
      <c r="J205" s="93"/>
      <c r="K205" s="93"/>
      <c r="L205" s="93"/>
      <c r="M205" s="93"/>
      <c r="N205" s="95"/>
      <c r="O205" s="95" t="str">
        <f>IF(N205="","",IF('Event Dataset'!N205&lt;='Drop Downs and Assumptions'!$K$2,'Drop Downs and Assumptions'!$L$2,IF(AND('Event Dataset'!N205&gt;='Drop Downs and Assumptions'!$J$3,'Event Dataset'!N205&lt;='Drop Downs and Assumptions'!$K$3),'Drop Downs and Assumptions'!$L$3,IF(AND('Event Dataset'!N205&gt;='Drop Downs and Assumptions'!$J$4,'Event Dataset'!N205&lt;='Drop Downs and Assumptions'!$K$4),'Drop Downs and Assumptions'!$L$4,IF('Event Dataset'!N205&gt;='Drop Downs and Assumptions'!$J$5,'Drop Downs and Assumptions'!$L$5,"")))))</f>
        <v/>
      </c>
      <c r="P205" s="96"/>
      <c r="Q205" s="97"/>
      <c r="R205" s="98"/>
      <c r="S205" s="99"/>
      <c r="T205" s="99"/>
      <c r="U205" s="99"/>
      <c r="V205" s="99"/>
      <c r="W205" s="99"/>
      <c r="X205" s="99"/>
      <c r="Y205" s="99"/>
      <c r="Z205" s="99"/>
      <c r="AA205" s="99"/>
      <c r="AB205" s="99"/>
      <c r="AC205" s="100"/>
      <c r="AD205" s="101" t="str">
        <f t="shared" si="29"/>
        <v/>
      </c>
      <c r="AE205" s="102" t="str">
        <f t="shared" si="30"/>
        <v/>
      </c>
      <c r="AF205" s="103" t="str">
        <f t="shared" si="31"/>
        <v/>
      </c>
      <c r="AG205" s="104" t="str">
        <f t="shared" si="32"/>
        <v/>
      </c>
    </row>
    <row r="206" spans="1:33" x14ac:dyDescent="0.25">
      <c r="A206" s="4">
        <f t="shared" si="33"/>
        <v>203</v>
      </c>
      <c r="B206" s="30" t="str">
        <f t="shared" si="34"/>
        <v/>
      </c>
      <c r="C206" s="67" t="str">
        <f t="shared" si="28"/>
        <v/>
      </c>
      <c r="D206" s="105"/>
      <c r="E206" s="106"/>
      <c r="F206" s="106"/>
      <c r="G206" s="106"/>
      <c r="H206" s="107"/>
      <c r="I206" s="106"/>
      <c r="J206" s="106"/>
      <c r="K206" s="106"/>
      <c r="L206" s="106"/>
      <c r="M206" s="106"/>
      <c r="N206" s="108"/>
      <c r="O206" s="108" t="str">
        <f>IF(N206="","",IF('Event Dataset'!N206&lt;='Drop Downs and Assumptions'!$K$2,'Drop Downs and Assumptions'!$L$2,IF(AND('Event Dataset'!N206&gt;='Drop Downs and Assumptions'!$J$3,'Event Dataset'!N206&lt;='Drop Downs and Assumptions'!$K$3),'Drop Downs and Assumptions'!$L$3,IF(AND('Event Dataset'!N206&gt;='Drop Downs and Assumptions'!$J$4,'Event Dataset'!N206&lt;='Drop Downs and Assumptions'!$K$4),'Drop Downs and Assumptions'!$L$4,IF('Event Dataset'!N206&gt;='Drop Downs and Assumptions'!$J$5,'Drop Downs and Assumptions'!$L$5,"")))))</f>
        <v/>
      </c>
      <c r="P206" s="109"/>
      <c r="Q206" s="97"/>
      <c r="R206" s="110"/>
      <c r="S206" s="111"/>
      <c r="T206" s="111"/>
      <c r="U206" s="111"/>
      <c r="V206" s="111"/>
      <c r="W206" s="111"/>
      <c r="X206" s="111"/>
      <c r="Y206" s="111"/>
      <c r="Z206" s="111"/>
      <c r="AA206" s="111"/>
      <c r="AB206" s="111"/>
      <c r="AC206" s="112"/>
      <c r="AD206" s="113" t="str">
        <f t="shared" si="29"/>
        <v/>
      </c>
      <c r="AE206" s="114" t="str">
        <f t="shared" si="30"/>
        <v/>
      </c>
      <c r="AF206" s="115" t="str">
        <f t="shared" si="31"/>
        <v/>
      </c>
      <c r="AG206" s="116" t="str">
        <f t="shared" si="32"/>
        <v/>
      </c>
    </row>
    <row r="207" spans="1:33" x14ac:dyDescent="0.25">
      <c r="A207" s="16">
        <f t="shared" si="33"/>
        <v>204</v>
      </c>
      <c r="B207" s="31" t="str">
        <f t="shared" si="34"/>
        <v/>
      </c>
      <c r="C207" s="66" t="str">
        <f t="shared" si="28"/>
        <v/>
      </c>
      <c r="D207" s="92"/>
      <c r="E207" s="93"/>
      <c r="F207" s="93"/>
      <c r="G207" s="93"/>
      <c r="H207" s="94"/>
      <c r="I207" s="93"/>
      <c r="J207" s="93"/>
      <c r="K207" s="93"/>
      <c r="L207" s="93"/>
      <c r="M207" s="93"/>
      <c r="N207" s="95"/>
      <c r="O207" s="95" t="str">
        <f>IF(N207="","",IF('Event Dataset'!N207&lt;='Drop Downs and Assumptions'!$K$2,'Drop Downs and Assumptions'!$L$2,IF(AND('Event Dataset'!N207&gt;='Drop Downs and Assumptions'!$J$3,'Event Dataset'!N207&lt;='Drop Downs and Assumptions'!$K$3),'Drop Downs and Assumptions'!$L$3,IF(AND('Event Dataset'!N207&gt;='Drop Downs and Assumptions'!$J$4,'Event Dataset'!N207&lt;='Drop Downs and Assumptions'!$K$4),'Drop Downs and Assumptions'!$L$4,IF('Event Dataset'!N207&gt;='Drop Downs and Assumptions'!$J$5,'Drop Downs and Assumptions'!$L$5,"")))))</f>
        <v/>
      </c>
      <c r="P207" s="96"/>
      <c r="Q207" s="97"/>
      <c r="R207" s="98"/>
      <c r="S207" s="99"/>
      <c r="T207" s="99"/>
      <c r="U207" s="99"/>
      <c r="V207" s="99"/>
      <c r="W207" s="99"/>
      <c r="X207" s="99"/>
      <c r="Y207" s="99"/>
      <c r="Z207" s="99"/>
      <c r="AA207" s="99"/>
      <c r="AB207" s="99"/>
      <c r="AC207" s="100"/>
      <c r="AD207" s="101" t="str">
        <f t="shared" si="29"/>
        <v/>
      </c>
      <c r="AE207" s="102" t="str">
        <f t="shared" si="30"/>
        <v/>
      </c>
      <c r="AF207" s="103" t="str">
        <f t="shared" si="31"/>
        <v/>
      </c>
      <c r="AG207" s="104" t="str">
        <f t="shared" si="32"/>
        <v/>
      </c>
    </row>
    <row r="208" spans="1:33" x14ac:dyDescent="0.25">
      <c r="A208" s="4">
        <f t="shared" si="33"/>
        <v>205</v>
      </c>
      <c r="B208" s="30" t="str">
        <f t="shared" si="34"/>
        <v/>
      </c>
      <c r="C208" s="67" t="str">
        <f t="shared" si="28"/>
        <v/>
      </c>
      <c r="D208" s="105"/>
      <c r="E208" s="106"/>
      <c r="F208" s="106"/>
      <c r="G208" s="106"/>
      <c r="H208" s="107"/>
      <c r="I208" s="106"/>
      <c r="J208" s="106"/>
      <c r="K208" s="106"/>
      <c r="L208" s="106"/>
      <c r="M208" s="106"/>
      <c r="N208" s="108"/>
      <c r="O208" s="108" t="str">
        <f>IF(N208="","",IF('Event Dataset'!N208&lt;='Drop Downs and Assumptions'!$K$2,'Drop Downs and Assumptions'!$L$2,IF(AND('Event Dataset'!N208&gt;='Drop Downs and Assumptions'!$J$3,'Event Dataset'!N208&lt;='Drop Downs and Assumptions'!$K$3),'Drop Downs and Assumptions'!$L$3,IF(AND('Event Dataset'!N208&gt;='Drop Downs and Assumptions'!$J$4,'Event Dataset'!N208&lt;='Drop Downs and Assumptions'!$K$4),'Drop Downs and Assumptions'!$L$4,IF('Event Dataset'!N208&gt;='Drop Downs and Assumptions'!$J$5,'Drop Downs and Assumptions'!$L$5,"")))))</f>
        <v/>
      </c>
      <c r="P208" s="109"/>
      <c r="Q208" s="97"/>
      <c r="R208" s="110"/>
      <c r="S208" s="111"/>
      <c r="T208" s="111"/>
      <c r="U208" s="111"/>
      <c r="V208" s="111"/>
      <c r="W208" s="111"/>
      <c r="X208" s="111"/>
      <c r="Y208" s="111"/>
      <c r="Z208" s="111"/>
      <c r="AA208" s="111"/>
      <c r="AB208" s="111"/>
      <c r="AC208" s="112"/>
      <c r="AD208" s="113" t="str">
        <f t="shared" si="29"/>
        <v/>
      </c>
      <c r="AE208" s="114" t="str">
        <f t="shared" si="30"/>
        <v/>
      </c>
      <c r="AF208" s="115" t="str">
        <f t="shared" si="31"/>
        <v/>
      </c>
      <c r="AG208" s="116" t="str">
        <f t="shared" si="32"/>
        <v/>
      </c>
    </row>
    <row r="209" spans="1:33" x14ac:dyDescent="0.25">
      <c r="A209" s="16">
        <f t="shared" si="33"/>
        <v>206</v>
      </c>
      <c r="B209" s="31" t="str">
        <f t="shared" si="34"/>
        <v/>
      </c>
      <c r="C209" s="66" t="str">
        <f t="shared" si="28"/>
        <v/>
      </c>
      <c r="D209" s="92"/>
      <c r="E209" s="93"/>
      <c r="F209" s="93"/>
      <c r="G209" s="93"/>
      <c r="H209" s="94"/>
      <c r="I209" s="93"/>
      <c r="J209" s="93"/>
      <c r="K209" s="93"/>
      <c r="L209" s="93"/>
      <c r="M209" s="93"/>
      <c r="N209" s="95"/>
      <c r="O209" s="95" t="str">
        <f>IF(N209="","",IF('Event Dataset'!N209&lt;='Drop Downs and Assumptions'!$K$2,'Drop Downs and Assumptions'!$L$2,IF(AND('Event Dataset'!N209&gt;='Drop Downs and Assumptions'!$J$3,'Event Dataset'!N209&lt;='Drop Downs and Assumptions'!$K$3),'Drop Downs and Assumptions'!$L$3,IF(AND('Event Dataset'!N209&gt;='Drop Downs and Assumptions'!$J$4,'Event Dataset'!N209&lt;='Drop Downs and Assumptions'!$K$4),'Drop Downs and Assumptions'!$L$4,IF('Event Dataset'!N209&gt;='Drop Downs and Assumptions'!$J$5,'Drop Downs and Assumptions'!$L$5,"")))))</f>
        <v/>
      </c>
      <c r="P209" s="96"/>
      <c r="Q209" s="97"/>
      <c r="R209" s="98"/>
      <c r="S209" s="99"/>
      <c r="T209" s="99"/>
      <c r="U209" s="99"/>
      <c r="V209" s="99"/>
      <c r="W209" s="99"/>
      <c r="X209" s="99"/>
      <c r="Y209" s="99"/>
      <c r="Z209" s="99"/>
      <c r="AA209" s="99"/>
      <c r="AB209" s="99"/>
      <c r="AC209" s="100"/>
      <c r="AD209" s="101" t="str">
        <f t="shared" si="29"/>
        <v/>
      </c>
      <c r="AE209" s="102" t="str">
        <f t="shared" si="30"/>
        <v/>
      </c>
      <c r="AF209" s="103" t="str">
        <f t="shared" si="31"/>
        <v/>
      </c>
      <c r="AG209" s="104" t="str">
        <f t="shared" si="32"/>
        <v/>
      </c>
    </row>
    <row r="210" spans="1:33" x14ac:dyDescent="0.25">
      <c r="A210" s="4">
        <f t="shared" si="33"/>
        <v>207</v>
      </c>
      <c r="B210" s="30" t="str">
        <f t="shared" si="34"/>
        <v/>
      </c>
      <c r="C210" s="67" t="str">
        <f t="shared" si="28"/>
        <v/>
      </c>
      <c r="D210" s="105"/>
      <c r="E210" s="106"/>
      <c r="F210" s="106"/>
      <c r="G210" s="106"/>
      <c r="H210" s="107"/>
      <c r="I210" s="106"/>
      <c r="J210" s="106"/>
      <c r="K210" s="106"/>
      <c r="L210" s="106"/>
      <c r="M210" s="106"/>
      <c r="N210" s="108"/>
      <c r="O210" s="108" t="str">
        <f>IF(N210="","",IF('Event Dataset'!N210&lt;='Drop Downs and Assumptions'!$K$2,'Drop Downs and Assumptions'!$L$2,IF(AND('Event Dataset'!N210&gt;='Drop Downs and Assumptions'!$J$3,'Event Dataset'!N210&lt;='Drop Downs and Assumptions'!$K$3),'Drop Downs and Assumptions'!$L$3,IF(AND('Event Dataset'!N210&gt;='Drop Downs and Assumptions'!$J$4,'Event Dataset'!N210&lt;='Drop Downs and Assumptions'!$K$4),'Drop Downs and Assumptions'!$L$4,IF('Event Dataset'!N210&gt;='Drop Downs and Assumptions'!$J$5,'Drop Downs and Assumptions'!$L$5,"")))))</f>
        <v/>
      </c>
      <c r="P210" s="109"/>
      <c r="Q210" s="97"/>
      <c r="R210" s="110"/>
      <c r="S210" s="111"/>
      <c r="T210" s="111"/>
      <c r="U210" s="111"/>
      <c r="V210" s="111"/>
      <c r="W210" s="111"/>
      <c r="X210" s="111"/>
      <c r="Y210" s="111"/>
      <c r="Z210" s="111"/>
      <c r="AA210" s="111"/>
      <c r="AB210" s="111"/>
      <c r="AC210" s="112"/>
      <c r="AD210" s="113" t="str">
        <f t="shared" si="29"/>
        <v/>
      </c>
      <c r="AE210" s="114" t="str">
        <f t="shared" si="30"/>
        <v/>
      </c>
      <c r="AF210" s="115" t="str">
        <f t="shared" si="31"/>
        <v/>
      </c>
      <c r="AG210" s="116" t="str">
        <f t="shared" si="32"/>
        <v/>
      </c>
    </row>
    <row r="211" spans="1:33" x14ac:dyDescent="0.25">
      <c r="A211" s="16">
        <f t="shared" si="33"/>
        <v>208</v>
      </c>
      <c r="B211" s="31" t="str">
        <f t="shared" si="34"/>
        <v/>
      </c>
      <c r="C211" s="66" t="str">
        <f t="shared" si="28"/>
        <v/>
      </c>
      <c r="D211" s="92"/>
      <c r="E211" s="93"/>
      <c r="F211" s="93"/>
      <c r="G211" s="93"/>
      <c r="H211" s="94"/>
      <c r="I211" s="93"/>
      <c r="J211" s="93"/>
      <c r="K211" s="93"/>
      <c r="L211" s="93"/>
      <c r="M211" s="93"/>
      <c r="N211" s="95"/>
      <c r="O211" s="95" t="str">
        <f>IF(N211="","",IF('Event Dataset'!N211&lt;='Drop Downs and Assumptions'!$K$2,'Drop Downs and Assumptions'!$L$2,IF(AND('Event Dataset'!N211&gt;='Drop Downs and Assumptions'!$J$3,'Event Dataset'!N211&lt;='Drop Downs and Assumptions'!$K$3),'Drop Downs and Assumptions'!$L$3,IF(AND('Event Dataset'!N211&gt;='Drop Downs and Assumptions'!$J$4,'Event Dataset'!N211&lt;='Drop Downs and Assumptions'!$K$4),'Drop Downs and Assumptions'!$L$4,IF('Event Dataset'!N211&gt;='Drop Downs and Assumptions'!$J$5,'Drop Downs and Assumptions'!$L$5,"")))))</f>
        <v/>
      </c>
      <c r="P211" s="96"/>
      <c r="Q211" s="97"/>
      <c r="R211" s="98"/>
      <c r="S211" s="99"/>
      <c r="T211" s="99"/>
      <c r="U211" s="99"/>
      <c r="V211" s="99"/>
      <c r="W211" s="99"/>
      <c r="X211" s="99"/>
      <c r="Y211" s="99"/>
      <c r="Z211" s="99"/>
      <c r="AA211" s="99"/>
      <c r="AB211" s="99"/>
      <c r="AC211" s="100"/>
      <c r="AD211" s="101" t="str">
        <f t="shared" si="29"/>
        <v/>
      </c>
      <c r="AE211" s="102" t="str">
        <f t="shared" si="30"/>
        <v/>
      </c>
      <c r="AF211" s="103" t="str">
        <f t="shared" si="31"/>
        <v/>
      </c>
      <c r="AG211" s="104" t="str">
        <f t="shared" si="32"/>
        <v/>
      </c>
    </row>
    <row r="212" spans="1:33" x14ac:dyDescent="0.25">
      <c r="A212" s="4">
        <f t="shared" si="33"/>
        <v>209</v>
      </c>
      <c r="B212" s="30" t="str">
        <f t="shared" si="34"/>
        <v/>
      </c>
      <c r="C212" s="67" t="str">
        <f t="shared" si="28"/>
        <v/>
      </c>
      <c r="D212" s="105"/>
      <c r="E212" s="106"/>
      <c r="F212" s="106"/>
      <c r="G212" s="106"/>
      <c r="H212" s="107"/>
      <c r="I212" s="106"/>
      <c r="J212" s="106"/>
      <c r="K212" s="106"/>
      <c r="L212" s="106"/>
      <c r="M212" s="106"/>
      <c r="N212" s="108"/>
      <c r="O212" s="108" t="str">
        <f>IF(N212="","",IF('Event Dataset'!N212&lt;='Drop Downs and Assumptions'!$K$2,'Drop Downs and Assumptions'!$L$2,IF(AND('Event Dataset'!N212&gt;='Drop Downs and Assumptions'!$J$3,'Event Dataset'!N212&lt;='Drop Downs and Assumptions'!$K$3),'Drop Downs and Assumptions'!$L$3,IF(AND('Event Dataset'!N212&gt;='Drop Downs and Assumptions'!$J$4,'Event Dataset'!N212&lt;='Drop Downs and Assumptions'!$K$4),'Drop Downs and Assumptions'!$L$4,IF('Event Dataset'!N212&gt;='Drop Downs and Assumptions'!$J$5,'Drop Downs and Assumptions'!$L$5,"")))))</f>
        <v/>
      </c>
      <c r="P212" s="109"/>
      <c r="Q212" s="97"/>
      <c r="R212" s="110"/>
      <c r="S212" s="111"/>
      <c r="T212" s="111"/>
      <c r="U212" s="111"/>
      <c r="V212" s="111"/>
      <c r="W212" s="111"/>
      <c r="X212" s="111"/>
      <c r="Y212" s="111"/>
      <c r="Z212" s="111"/>
      <c r="AA212" s="111"/>
      <c r="AB212" s="111"/>
      <c r="AC212" s="112"/>
      <c r="AD212" s="113" t="str">
        <f t="shared" si="29"/>
        <v/>
      </c>
      <c r="AE212" s="114" t="str">
        <f t="shared" si="30"/>
        <v/>
      </c>
      <c r="AF212" s="115" t="str">
        <f t="shared" si="31"/>
        <v/>
      </c>
      <c r="AG212" s="116" t="str">
        <f t="shared" si="32"/>
        <v/>
      </c>
    </row>
    <row r="213" spans="1:33" x14ac:dyDescent="0.25">
      <c r="A213" s="16">
        <f t="shared" si="33"/>
        <v>210</v>
      </c>
      <c r="B213" s="31" t="str">
        <f t="shared" si="34"/>
        <v/>
      </c>
      <c r="C213" s="66" t="str">
        <f t="shared" si="28"/>
        <v/>
      </c>
      <c r="D213" s="92"/>
      <c r="E213" s="93"/>
      <c r="F213" s="93"/>
      <c r="G213" s="93"/>
      <c r="H213" s="94"/>
      <c r="I213" s="93"/>
      <c r="J213" s="93"/>
      <c r="K213" s="93"/>
      <c r="L213" s="93"/>
      <c r="M213" s="93"/>
      <c r="N213" s="95"/>
      <c r="O213" s="95" t="str">
        <f>IF(N213="","",IF('Event Dataset'!N213&lt;='Drop Downs and Assumptions'!$K$2,'Drop Downs and Assumptions'!$L$2,IF(AND('Event Dataset'!N213&gt;='Drop Downs and Assumptions'!$J$3,'Event Dataset'!N213&lt;='Drop Downs and Assumptions'!$K$3),'Drop Downs and Assumptions'!$L$3,IF(AND('Event Dataset'!N213&gt;='Drop Downs and Assumptions'!$J$4,'Event Dataset'!N213&lt;='Drop Downs and Assumptions'!$K$4),'Drop Downs and Assumptions'!$L$4,IF('Event Dataset'!N213&gt;='Drop Downs and Assumptions'!$J$5,'Drop Downs and Assumptions'!$L$5,"")))))</f>
        <v/>
      </c>
      <c r="P213" s="96"/>
      <c r="Q213" s="97"/>
      <c r="R213" s="98"/>
      <c r="S213" s="99"/>
      <c r="T213" s="99"/>
      <c r="U213" s="99"/>
      <c r="V213" s="99"/>
      <c r="W213" s="99"/>
      <c r="X213" s="99"/>
      <c r="Y213" s="99"/>
      <c r="Z213" s="99"/>
      <c r="AA213" s="99"/>
      <c r="AB213" s="99"/>
      <c r="AC213" s="100"/>
      <c r="AD213" s="101" t="str">
        <f t="shared" si="29"/>
        <v/>
      </c>
      <c r="AE213" s="102" t="str">
        <f t="shared" si="30"/>
        <v/>
      </c>
      <c r="AF213" s="103" t="str">
        <f t="shared" si="31"/>
        <v/>
      </c>
      <c r="AG213" s="104" t="str">
        <f t="shared" si="32"/>
        <v/>
      </c>
    </row>
    <row r="214" spans="1:33" x14ac:dyDescent="0.25">
      <c r="A214" s="4">
        <f t="shared" si="33"/>
        <v>211</v>
      </c>
      <c r="B214" s="30" t="str">
        <f t="shared" si="34"/>
        <v/>
      </c>
      <c r="C214" s="67" t="str">
        <f t="shared" si="28"/>
        <v/>
      </c>
      <c r="D214" s="105"/>
      <c r="E214" s="106"/>
      <c r="F214" s="106"/>
      <c r="G214" s="106"/>
      <c r="H214" s="107"/>
      <c r="I214" s="106"/>
      <c r="J214" s="106"/>
      <c r="K214" s="106"/>
      <c r="L214" s="106"/>
      <c r="M214" s="106"/>
      <c r="N214" s="108"/>
      <c r="O214" s="108" t="str">
        <f>IF(N214="","",IF('Event Dataset'!N214&lt;='Drop Downs and Assumptions'!$K$2,'Drop Downs and Assumptions'!$L$2,IF(AND('Event Dataset'!N214&gt;='Drop Downs and Assumptions'!$J$3,'Event Dataset'!N214&lt;='Drop Downs and Assumptions'!$K$3),'Drop Downs and Assumptions'!$L$3,IF(AND('Event Dataset'!N214&gt;='Drop Downs and Assumptions'!$J$4,'Event Dataset'!N214&lt;='Drop Downs and Assumptions'!$K$4),'Drop Downs and Assumptions'!$L$4,IF('Event Dataset'!N214&gt;='Drop Downs and Assumptions'!$J$5,'Drop Downs and Assumptions'!$L$5,"")))))</f>
        <v/>
      </c>
      <c r="P214" s="109"/>
      <c r="Q214" s="97"/>
      <c r="R214" s="110"/>
      <c r="S214" s="111"/>
      <c r="T214" s="111"/>
      <c r="U214" s="111"/>
      <c r="V214" s="111"/>
      <c r="W214" s="111"/>
      <c r="X214" s="111"/>
      <c r="Y214" s="111"/>
      <c r="Z214" s="111"/>
      <c r="AA214" s="111"/>
      <c r="AB214" s="111"/>
      <c r="AC214" s="112"/>
      <c r="AD214" s="113" t="str">
        <f t="shared" si="29"/>
        <v/>
      </c>
      <c r="AE214" s="114" t="str">
        <f t="shared" si="30"/>
        <v/>
      </c>
      <c r="AF214" s="115" t="str">
        <f t="shared" si="31"/>
        <v/>
      </c>
      <c r="AG214" s="116" t="str">
        <f t="shared" si="32"/>
        <v/>
      </c>
    </row>
    <row r="215" spans="1:33" x14ac:dyDescent="0.25">
      <c r="A215" s="16">
        <f t="shared" si="33"/>
        <v>212</v>
      </c>
      <c r="B215" s="31" t="str">
        <f t="shared" si="34"/>
        <v/>
      </c>
      <c r="C215" s="66" t="str">
        <f t="shared" si="28"/>
        <v/>
      </c>
      <c r="D215" s="92"/>
      <c r="E215" s="93"/>
      <c r="F215" s="93"/>
      <c r="G215" s="93"/>
      <c r="H215" s="94"/>
      <c r="I215" s="93"/>
      <c r="J215" s="93"/>
      <c r="K215" s="93"/>
      <c r="L215" s="93"/>
      <c r="M215" s="93"/>
      <c r="N215" s="95"/>
      <c r="O215" s="95" t="str">
        <f>IF(N215="","",IF('Event Dataset'!N215&lt;='Drop Downs and Assumptions'!$K$2,'Drop Downs and Assumptions'!$L$2,IF(AND('Event Dataset'!N215&gt;='Drop Downs and Assumptions'!$J$3,'Event Dataset'!N215&lt;='Drop Downs and Assumptions'!$K$3),'Drop Downs and Assumptions'!$L$3,IF(AND('Event Dataset'!N215&gt;='Drop Downs and Assumptions'!$J$4,'Event Dataset'!N215&lt;='Drop Downs and Assumptions'!$K$4),'Drop Downs and Assumptions'!$L$4,IF('Event Dataset'!N215&gt;='Drop Downs and Assumptions'!$J$5,'Drop Downs and Assumptions'!$L$5,"")))))</f>
        <v/>
      </c>
      <c r="P215" s="96"/>
      <c r="Q215" s="97"/>
      <c r="R215" s="98"/>
      <c r="S215" s="99"/>
      <c r="T215" s="99"/>
      <c r="U215" s="99"/>
      <c r="V215" s="99"/>
      <c r="W215" s="99"/>
      <c r="X215" s="99"/>
      <c r="Y215" s="99"/>
      <c r="Z215" s="99"/>
      <c r="AA215" s="99"/>
      <c r="AB215" s="99"/>
      <c r="AC215" s="100"/>
      <c r="AD215" s="101" t="str">
        <f t="shared" si="29"/>
        <v/>
      </c>
      <c r="AE215" s="102" t="str">
        <f t="shared" si="30"/>
        <v/>
      </c>
      <c r="AF215" s="103" t="str">
        <f t="shared" si="31"/>
        <v/>
      </c>
      <c r="AG215" s="104" t="str">
        <f t="shared" si="32"/>
        <v/>
      </c>
    </row>
    <row r="216" spans="1:33" x14ac:dyDescent="0.25">
      <c r="A216" s="4">
        <f t="shared" si="33"/>
        <v>213</v>
      </c>
      <c r="B216" s="30" t="str">
        <f t="shared" si="34"/>
        <v/>
      </c>
      <c r="C216" s="67" t="str">
        <f t="shared" si="28"/>
        <v/>
      </c>
      <c r="D216" s="105"/>
      <c r="E216" s="106"/>
      <c r="F216" s="106"/>
      <c r="G216" s="106"/>
      <c r="H216" s="107"/>
      <c r="I216" s="106"/>
      <c r="J216" s="106"/>
      <c r="K216" s="106"/>
      <c r="L216" s="106"/>
      <c r="M216" s="106"/>
      <c r="N216" s="108"/>
      <c r="O216" s="108" t="str">
        <f>IF(N216="","",IF('Event Dataset'!N216&lt;='Drop Downs and Assumptions'!$K$2,'Drop Downs and Assumptions'!$L$2,IF(AND('Event Dataset'!N216&gt;='Drop Downs and Assumptions'!$J$3,'Event Dataset'!N216&lt;='Drop Downs and Assumptions'!$K$3),'Drop Downs and Assumptions'!$L$3,IF(AND('Event Dataset'!N216&gt;='Drop Downs and Assumptions'!$J$4,'Event Dataset'!N216&lt;='Drop Downs and Assumptions'!$K$4),'Drop Downs and Assumptions'!$L$4,IF('Event Dataset'!N216&gt;='Drop Downs and Assumptions'!$J$5,'Drop Downs and Assumptions'!$L$5,"")))))</f>
        <v/>
      </c>
      <c r="P216" s="109"/>
      <c r="Q216" s="97"/>
      <c r="R216" s="110"/>
      <c r="S216" s="111"/>
      <c r="T216" s="111"/>
      <c r="U216" s="111"/>
      <c r="V216" s="111"/>
      <c r="W216" s="111"/>
      <c r="X216" s="111"/>
      <c r="Y216" s="111"/>
      <c r="Z216" s="111"/>
      <c r="AA216" s="111"/>
      <c r="AB216" s="111"/>
      <c r="AC216" s="112"/>
      <c r="AD216" s="113" t="str">
        <f t="shared" si="29"/>
        <v/>
      </c>
      <c r="AE216" s="114" t="str">
        <f t="shared" si="30"/>
        <v/>
      </c>
      <c r="AF216" s="115" t="str">
        <f t="shared" si="31"/>
        <v/>
      </c>
      <c r="AG216" s="116" t="str">
        <f t="shared" si="32"/>
        <v/>
      </c>
    </row>
    <row r="217" spans="1:33" x14ac:dyDescent="0.25">
      <c r="A217" s="16">
        <f t="shared" si="33"/>
        <v>214</v>
      </c>
      <c r="B217" s="31" t="str">
        <f t="shared" si="34"/>
        <v/>
      </c>
      <c r="C217" s="66" t="str">
        <f t="shared" si="28"/>
        <v/>
      </c>
      <c r="D217" s="92"/>
      <c r="E217" s="93"/>
      <c r="F217" s="93"/>
      <c r="G217" s="93"/>
      <c r="H217" s="94"/>
      <c r="I217" s="93"/>
      <c r="J217" s="93"/>
      <c r="K217" s="93"/>
      <c r="L217" s="93"/>
      <c r="M217" s="93"/>
      <c r="N217" s="95"/>
      <c r="O217" s="95" t="str">
        <f>IF(N217="","",IF('Event Dataset'!N217&lt;='Drop Downs and Assumptions'!$K$2,'Drop Downs and Assumptions'!$L$2,IF(AND('Event Dataset'!N217&gt;='Drop Downs and Assumptions'!$J$3,'Event Dataset'!N217&lt;='Drop Downs and Assumptions'!$K$3),'Drop Downs and Assumptions'!$L$3,IF(AND('Event Dataset'!N217&gt;='Drop Downs and Assumptions'!$J$4,'Event Dataset'!N217&lt;='Drop Downs and Assumptions'!$K$4),'Drop Downs and Assumptions'!$L$4,IF('Event Dataset'!N217&gt;='Drop Downs and Assumptions'!$J$5,'Drop Downs and Assumptions'!$L$5,"")))))</f>
        <v/>
      </c>
      <c r="P217" s="96"/>
      <c r="Q217" s="97"/>
      <c r="R217" s="98"/>
      <c r="S217" s="99"/>
      <c r="T217" s="99"/>
      <c r="U217" s="99"/>
      <c r="V217" s="99"/>
      <c r="W217" s="99"/>
      <c r="X217" s="99"/>
      <c r="Y217" s="99"/>
      <c r="Z217" s="99"/>
      <c r="AA217" s="99"/>
      <c r="AB217" s="99"/>
      <c r="AC217" s="100"/>
      <c r="AD217" s="101" t="str">
        <f t="shared" si="29"/>
        <v/>
      </c>
      <c r="AE217" s="102" t="str">
        <f t="shared" si="30"/>
        <v/>
      </c>
      <c r="AF217" s="103" t="str">
        <f t="shared" si="31"/>
        <v/>
      </c>
      <c r="AG217" s="104" t="str">
        <f t="shared" si="32"/>
        <v/>
      </c>
    </row>
    <row r="218" spans="1:33" x14ac:dyDescent="0.25">
      <c r="A218" s="4">
        <f t="shared" si="33"/>
        <v>215</v>
      </c>
      <c r="B218" s="30" t="str">
        <f t="shared" si="34"/>
        <v/>
      </c>
      <c r="C218" s="67" t="str">
        <f t="shared" si="28"/>
        <v/>
      </c>
      <c r="D218" s="105"/>
      <c r="E218" s="106"/>
      <c r="F218" s="106"/>
      <c r="G218" s="106"/>
      <c r="H218" s="107"/>
      <c r="I218" s="106"/>
      <c r="J218" s="106"/>
      <c r="K218" s="106"/>
      <c r="L218" s="106"/>
      <c r="M218" s="106"/>
      <c r="N218" s="108"/>
      <c r="O218" s="108" t="str">
        <f>IF(N218="","",IF('Event Dataset'!N218&lt;='Drop Downs and Assumptions'!$K$2,'Drop Downs and Assumptions'!$L$2,IF(AND('Event Dataset'!N218&gt;='Drop Downs and Assumptions'!$J$3,'Event Dataset'!N218&lt;='Drop Downs and Assumptions'!$K$3),'Drop Downs and Assumptions'!$L$3,IF(AND('Event Dataset'!N218&gt;='Drop Downs and Assumptions'!$J$4,'Event Dataset'!N218&lt;='Drop Downs and Assumptions'!$K$4),'Drop Downs and Assumptions'!$L$4,IF('Event Dataset'!N218&gt;='Drop Downs and Assumptions'!$J$5,'Drop Downs and Assumptions'!$L$5,"")))))</f>
        <v/>
      </c>
      <c r="P218" s="109"/>
      <c r="Q218" s="97"/>
      <c r="R218" s="110"/>
      <c r="S218" s="111"/>
      <c r="T218" s="111"/>
      <c r="U218" s="111"/>
      <c r="V218" s="111"/>
      <c r="W218" s="111"/>
      <c r="X218" s="111"/>
      <c r="Y218" s="111"/>
      <c r="Z218" s="111"/>
      <c r="AA218" s="111"/>
      <c r="AB218" s="111"/>
      <c r="AC218" s="112"/>
      <c r="AD218" s="113" t="str">
        <f t="shared" si="29"/>
        <v/>
      </c>
      <c r="AE218" s="114" t="str">
        <f t="shared" si="30"/>
        <v/>
      </c>
      <c r="AF218" s="115" t="str">
        <f t="shared" si="31"/>
        <v/>
      </c>
      <c r="AG218" s="116" t="str">
        <f t="shared" si="32"/>
        <v/>
      </c>
    </row>
    <row r="219" spans="1:33" x14ac:dyDescent="0.25">
      <c r="A219" s="16">
        <f t="shared" si="33"/>
        <v>216</v>
      </c>
      <c r="B219" s="31" t="str">
        <f t="shared" si="34"/>
        <v/>
      </c>
      <c r="C219" s="66" t="str">
        <f t="shared" si="28"/>
        <v/>
      </c>
      <c r="D219" s="92"/>
      <c r="E219" s="93"/>
      <c r="F219" s="93"/>
      <c r="G219" s="93"/>
      <c r="H219" s="94"/>
      <c r="I219" s="93"/>
      <c r="J219" s="93"/>
      <c r="K219" s="93"/>
      <c r="L219" s="93"/>
      <c r="M219" s="93"/>
      <c r="N219" s="95"/>
      <c r="O219" s="95" t="str">
        <f>IF(N219="","",IF('Event Dataset'!N219&lt;='Drop Downs and Assumptions'!$K$2,'Drop Downs and Assumptions'!$L$2,IF(AND('Event Dataset'!N219&gt;='Drop Downs and Assumptions'!$J$3,'Event Dataset'!N219&lt;='Drop Downs and Assumptions'!$K$3),'Drop Downs and Assumptions'!$L$3,IF(AND('Event Dataset'!N219&gt;='Drop Downs and Assumptions'!$J$4,'Event Dataset'!N219&lt;='Drop Downs and Assumptions'!$K$4),'Drop Downs and Assumptions'!$L$4,IF('Event Dataset'!N219&gt;='Drop Downs and Assumptions'!$J$5,'Drop Downs and Assumptions'!$L$5,"")))))</f>
        <v/>
      </c>
      <c r="P219" s="96"/>
      <c r="Q219" s="97"/>
      <c r="R219" s="98"/>
      <c r="S219" s="99"/>
      <c r="T219" s="99"/>
      <c r="U219" s="99"/>
      <c r="V219" s="99"/>
      <c r="W219" s="99"/>
      <c r="X219" s="99"/>
      <c r="Y219" s="99"/>
      <c r="Z219" s="99"/>
      <c r="AA219" s="99"/>
      <c r="AB219" s="99"/>
      <c r="AC219" s="100"/>
      <c r="AD219" s="101" t="str">
        <f t="shared" si="29"/>
        <v/>
      </c>
      <c r="AE219" s="102" t="str">
        <f t="shared" si="30"/>
        <v/>
      </c>
      <c r="AF219" s="103" t="str">
        <f t="shared" si="31"/>
        <v/>
      </c>
      <c r="AG219" s="104" t="str">
        <f t="shared" si="32"/>
        <v/>
      </c>
    </row>
    <row r="220" spans="1:33" x14ac:dyDescent="0.25">
      <c r="A220" s="4">
        <f t="shared" si="33"/>
        <v>217</v>
      </c>
      <c r="B220" s="30" t="str">
        <f t="shared" si="34"/>
        <v/>
      </c>
      <c r="C220" s="67" t="str">
        <f t="shared" si="28"/>
        <v/>
      </c>
      <c r="D220" s="105"/>
      <c r="E220" s="106"/>
      <c r="F220" s="106"/>
      <c r="G220" s="106"/>
      <c r="H220" s="107"/>
      <c r="I220" s="106"/>
      <c r="J220" s="106"/>
      <c r="K220" s="106"/>
      <c r="L220" s="106"/>
      <c r="M220" s="106"/>
      <c r="N220" s="108"/>
      <c r="O220" s="108" t="str">
        <f>IF(N220="","",IF('Event Dataset'!N220&lt;='Drop Downs and Assumptions'!$K$2,'Drop Downs and Assumptions'!$L$2,IF(AND('Event Dataset'!N220&gt;='Drop Downs and Assumptions'!$J$3,'Event Dataset'!N220&lt;='Drop Downs and Assumptions'!$K$3),'Drop Downs and Assumptions'!$L$3,IF(AND('Event Dataset'!N220&gt;='Drop Downs and Assumptions'!$J$4,'Event Dataset'!N220&lt;='Drop Downs and Assumptions'!$K$4),'Drop Downs and Assumptions'!$L$4,IF('Event Dataset'!N220&gt;='Drop Downs and Assumptions'!$J$5,'Drop Downs and Assumptions'!$L$5,"")))))</f>
        <v/>
      </c>
      <c r="P220" s="109"/>
      <c r="Q220" s="97"/>
      <c r="R220" s="110"/>
      <c r="S220" s="111"/>
      <c r="T220" s="111"/>
      <c r="U220" s="111"/>
      <c r="V220" s="111"/>
      <c r="W220" s="111"/>
      <c r="X220" s="111"/>
      <c r="Y220" s="111"/>
      <c r="Z220" s="111"/>
      <c r="AA220" s="111"/>
      <c r="AB220" s="111"/>
      <c r="AC220" s="112"/>
      <c r="AD220" s="113" t="str">
        <f t="shared" si="29"/>
        <v/>
      </c>
      <c r="AE220" s="114" t="str">
        <f t="shared" si="30"/>
        <v/>
      </c>
      <c r="AF220" s="115" t="str">
        <f t="shared" si="31"/>
        <v/>
      </c>
      <c r="AG220" s="116" t="str">
        <f t="shared" si="32"/>
        <v/>
      </c>
    </row>
    <row r="221" spans="1:33" x14ac:dyDescent="0.25">
      <c r="A221" s="16">
        <f t="shared" si="33"/>
        <v>218</v>
      </c>
      <c r="B221" s="31" t="str">
        <f t="shared" si="34"/>
        <v/>
      </c>
      <c r="C221" s="66" t="str">
        <f t="shared" si="28"/>
        <v/>
      </c>
      <c r="D221" s="92"/>
      <c r="E221" s="93"/>
      <c r="F221" s="93"/>
      <c r="G221" s="93"/>
      <c r="H221" s="94"/>
      <c r="I221" s="93"/>
      <c r="J221" s="93"/>
      <c r="K221" s="93"/>
      <c r="L221" s="93"/>
      <c r="M221" s="93"/>
      <c r="N221" s="95"/>
      <c r="O221" s="95" t="str">
        <f>IF(N221="","",IF('Event Dataset'!N221&lt;='Drop Downs and Assumptions'!$K$2,'Drop Downs and Assumptions'!$L$2,IF(AND('Event Dataset'!N221&gt;='Drop Downs and Assumptions'!$J$3,'Event Dataset'!N221&lt;='Drop Downs and Assumptions'!$K$3),'Drop Downs and Assumptions'!$L$3,IF(AND('Event Dataset'!N221&gt;='Drop Downs and Assumptions'!$J$4,'Event Dataset'!N221&lt;='Drop Downs and Assumptions'!$K$4),'Drop Downs and Assumptions'!$L$4,IF('Event Dataset'!N221&gt;='Drop Downs and Assumptions'!$J$5,'Drop Downs and Assumptions'!$L$5,"")))))</f>
        <v/>
      </c>
      <c r="P221" s="96"/>
      <c r="Q221" s="97"/>
      <c r="R221" s="98"/>
      <c r="S221" s="99"/>
      <c r="T221" s="99"/>
      <c r="U221" s="99"/>
      <c r="V221" s="99"/>
      <c r="W221" s="99"/>
      <c r="X221" s="99"/>
      <c r="Y221" s="99"/>
      <c r="Z221" s="99"/>
      <c r="AA221" s="99"/>
      <c r="AB221" s="99"/>
      <c r="AC221" s="100"/>
      <c r="AD221" s="101" t="str">
        <f t="shared" si="29"/>
        <v/>
      </c>
      <c r="AE221" s="102" t="str">
        <f t="shared" si="30"/>
        <v/>
      </c>
      <c r="AF221" s="103" t="str">
        <f t="shared" si="31"/>
        <v/>
      </c>
      <c r="AG221" s="104" t="str">
        <f t="shared" si="32"/>
        <v/>
      </c>
    </row>
    <row r="222" spans="1:33" x14ac:dyDescent="0.25">
      <c r="A222" s="4">
        <f t="shared" si="33"/>
        <v>219</v>
      </c>
      <c r="B222" s="30" t="str">
        <f t="shared" si="34"/>
        <v/>
      </c>
      <c r="C222" s="67" t="str">
        <f t="shared" si="28"/>
        <v/>
      </c>
      <c r="D222" s="105"/>
      <c r="E222" s="106"/>
      <c r="F222" s="106"/>
      <c r="G222" s="106"/>
      <c r="H222" s="107"/>
      <c r="I222" s="106"/>
      <c r="J222" s="106"/>
      <c r="K222" s="106"/>
      <c r="L222" s="106"/>
      <c r="M222" s="106"/>
      <c r="N222" s="108"/>
      <c r="O222" s="108" t="str">
        <f>IF(N222="","",IF('Event Dataset'!N222&lt;='Drop Downs and Assumptions'!$K$2,'Drop Downs and Assumptions'!$L$2,IF(AND('Event Dataset'!N222&gt;='Drop Downs and Assumptions'!$J$3,'Event Dataset'!N222&lt;='Drop Downs and Assumptions'!$K$3),'Drop Downs and Assumptions'!$L$3,IF(AND('Event Dataset'!N222&gt;='Drop Downs and Assumptions'!$J$4,'Event Dataset'!N222&lt;='Drop Downs and Assumptions'!$K$4),'Drop Downs and Assumptions'!$L$4,IF('Event Dataset'!N222&gt;='Drop Downs and Assumptions'!$J$5,'Drop Downs and Assumptions'!$L$5,"")))))</f>
        <v/>
      </c>
      <c r="P222" s="109"/>
      <c r="Q222" s="97"/>
      <c r="R222" s="110"/>
      <c r="S222" s="111"/>
      <c r="T222" s="111"/>
      <c r="U222" s="111"/>
      <c r="V222" s="111"/>
      <c r="W222" s="111"/>
      <c r="X222" s="111"/>
      <c r="Y222" s="111"/>
      <c r="Z222" s="111"/>
      <c r="AA222" s="111"/>
      <c r="AB222" s="111"/>
      <c r="AC222" s="112"/>
      <c r="AD222" s="113" t="str">
        <f t="shared" si="29"/>
        <v/>
      </c>
      <c r="AE222" s="114" t="str">
        <f t="shared" si="30"/>
        <v/>
      </c>
      <c r="AF222" s="115" t="str">
        <f t="shared" si="31"/>
        <v/>
      </c>
      <c r="AG222" s="116" t="str">
        <f t="shared" si="32"/>
        <v/>
      </c>
    </row>
    <row r="223" spans="1:33" x14ac:dyDescent="0.25">
      <c r="A223" s="16">
        <f t="shared" si="33"/>
        <v>220</v>
      </c>
      <c r="B223" s="31" t="str">
        <f t="shared" si="34"/>
        <v/>
      </c>
      <c r="C223" s="66" t="str">
        <f t="shared" si="28"/>
        <v/>
      </c>
      <c r="D223" s="92"/>
      <c r="E223" s="93"/>
      <c r="F223" s="93"/>
      <c r="G223" s="93"/>
      <c r="H223" s="94"/>
      <c r="I223" s="93"/>
      <c r="J223" s="93"/>
      <c r="K223" s="93"/>
      <c r="L223" s="93"/>
      <c r="M223" s="93"/>
      <c r="N223" s="95"/>
      <c r="O223" s="95" t="str">
        <f>IF(N223="","",IF('Event Dataset'!N223&lt;='Drop Downs and Assumptions'!$K$2,'Drop Downs and Assumptions'!$L$2,IF(AND('Event Dataset'!N223&gt;='Drop Downs and Assumptions'!$J$3,'Event Dataset'!N223&lt;='Drop Downs and Assumptions'!$K$3),'Drop Downs and Assumptions'!$L$3,IF(AND('Event Dataset'!N223&gt;='Drop Downs and Assumptions'!$J$4,'Event Dataset'!N223&lt;='Drop Downs and Assumptions'!$K$4),'Drop Downs and Assumptions'!$L$4,IF('Event Dataset'!N223&gt;='Drop Downs and Assumptions'!$J$5,'Drop Downs and Assumptions'!$L$5,"")))))</f>
        <v/>
      </c>
      <c r="P223" s="96"/>
      <c r="Q223" s="97"/>
      <c r="R223" s="98"/>
      <c r="S223" s="99"/>
      <c r="T223" s="99"/>
      <c r="U223" s="99"/>
      <c r="V223" s="99"/>
      <c r="W223" s="99"/>
      <c r="X223" s="99"/>
      <c r="Y223" s="99"/>
      <c r="Z223" s="99"/>
      <c r="AA223" s="99"/>
      <c r="AB223" s="99"/>
      <c r="AC223" s="100"/>
      <c r="AD223" s="101" t="str">
        <f t="shared" si="29"/>
        <v/>
      </c>
      <c r="AE223" s="102" t="str">
        <f t="shared" si="30"/>
        <v/>
      </c>
      <c r="AF223" s="103" t="str">
        <f t="shared" si="31"/>
        <v/>
      </c>
      <c r="AG223" s="104" t="str">
        <f t="shared" si="32"/>
        <v/>
      </c>
    </row>
    <row r="224" spans="1:33" x14ac:dyDescent="0.25">
      <c r="A224" s="4">
        <f t="shared" si="33"/>
        <v>221</v>
      </c>
      <c r="B224" s="30" t="str">
        <f t="shared" si="34"/>
        <v/>
      </c>
      <c r="C224" s="67" t="str">
        <f t="shared" si="28"/>
        <v/>
      </c>
      <c r="D224" s="105"/>
      <c r="E224" s="106"/>
      <c r="F224" s="106"/>
      <c r="G224" s="106"/>
      <c r="H224" s="107"/>
      <c r="I224" s="106"/>
      <c r="J224" s="106"/>
      <c r="K224" s="106"/>
      <c r="L224" s="106"/>
      <c r="M224" s="106"/>
      <c r="N224" s="108"/>
      <c r="O224" s="108" t="str">
        <f>IF(N224="","",IF('Event Dataset'!N224&lt;='Drop Downs and Assumptions'!$K$2,'Drop Downs and Assumptions'!$L$2,IF(AND('Event Dataset'!N224&gt;='Drop Downs and Assumptions'!$J$3,'Event Dataset'!N224&lt;='Drop Downs and Assumptions'!$K$3),'Drop Downs and Assumptions'!$L$3,IF(AND('Event Dataset'!N224&gt;='Drop Downs and Assumptions'!$J$4,'Event Dataset'!N224&lt;='Drop Downs and Assumptions'!$K$4),'Drop Downs and Assumptions'!$L$4,IF('Event Dataset'!N224&gt;='Drop Downs and Assumptions'!$J$5,'Drop Downs and Assumptions'!$L$5,"")))))</f>
        <v/>
      </c>
      <c r="P224" s="109"/>
      <c r="Q224" s="97"/>
      <c r="R224" s="110"/>
      <c r="S224" s="111"/>
      <c r="T224" s="111"/>
      <c r="U224" s="111"/>
      <c r="V224" s="111"/>
      <c r="W224" s="111"/>
      <c r="X224" s="111"/>
      <c r="Y224" s="111"/>
      <c r="Z224" s="111"/>
      <c r="AA224" s="111"/>
      <c r="AB224" s="111"/>
      <c r="AC224" s="112"/>
      <c r="AD224" s="113" t="str">
        <f t="shared" si="29"/>
        <v/>
      </c>
      <c r="AE224" s="114" t="str">
        <f t="shared" si="30"/>
        <v/>
      </c>
      <c r="AF224" s="115" t="str">
        <f t="shared" si="31"/>
        <v/>
      </c>
      <c r="AG224" s="116" t="str">
        <f t="shared" si="32"/>
        <v/>
      </c>
    </row>
    <row r="225" spans="1:33" x14ac:dyDescent="0.25">
      <c r="A225" s="16">
        <f t="shared" si="33"/>
        <v>222</v>
      </c>
      <c r="B225" s="31" t="str">
        <f t="shared" si="34"/>
        <v/>
      </c>
      <c r="C225" s="66" t="str">
        <f t="shared" si="28"/>
        <v/>
      </c>
      <c r="D225" s="92"/>
      <c r="E225" s="93"/>
      <c r="F225" s="93"/>
      <c r="G225" s="93"/>
      <c r="H225" s="94"/>
      <c r="I225" s="93"/>
      <c r="J225" s="93"/>
      <c r="K225" s="93"/>
      <c r="L225" s="93"/>
      <c r="M225" s="93"/>
      <c r="N225" s="95"/>
      <c r="O225" s="95" t="str">
        <f>IF(N225="","",IF('Event Dataset'!N225&lt;='Drop Downs and Assumptions'!$K$2,'Drop Downs and Assumptions'!$L$2,IF(AND('Event Dataset'!N225&gt;='Drop Downs and Assumptions'!$J$3,'Event Dataset'!N225&lt;='Drop Downs and Assumptions'!$K$3),'Drop Downs and Assumptions'!$L$3,IF(AND('Event Dataset'!N225&gt;='Drop Downs and Assumptions'!$J$4,'Event Dataset'!N225&lt;='Drop Downs and Assumptions'!$K$4),'Drop Downs and Assumptions'!$L$4,IF('Event Dataset'!N225&gt;='Drop Downs and Assumptions'!$J$5,'Drop Downs and Assumptions'!$L$5,"")))))</f>
        <v/>
      </c>
      <c r="P225" s="96"/>
      <c r="Q225" s="97"/>
      <c r="R225" s="98"/>
      <c r="S225" s="99"/>
      <c r="T225" s="99"/>
      <c r="U225" s="99"/>
      <c r="V225" s="99"/>
      <c r="W225" s="99"/>
      <c r="X225" s="99"/>
      <c r="Y225" s="99"/>
      <c r="Z225" s="99"/>
      <c r="AA225" s="99"/>
      <c r="AB225" s="99"/>
      <c r="AC225" s="100"/>
      <c r="AD225" s="101" t="str">
        <f t="shared" si="29"/>
        <v/>
      </c>
      <c r="AE225" s="102" t="str">
        <f t="shared" si="30"/>
        <v/>
      </c>
      <c r="AF225" s="103" t="str">
        <f t="shared" si="31"/>
        <v/>
      </c>
      <c r="AG225" s="104" t="str">
        <f t="shared" si="32"/>
        <v/>
      </c>
    </row>
    <row r="226" spans="1:33" x14ac:dyDescent="0.25">
      <c r="A226" s="4">
        <f t="shared" si="33"/>
        <v>223</v>
      </c>
      <c r="B226" s="30" t="str">
        <f t="shared" si="34"/>
        <v/>
      </c>
      <c r="C226" s="67" t="str">
        <f t="shared" si="28"/>
        <v/>
      </c>
      <c r="D226" s="105"/>
      <c r="E226" s="106"/>
      <c r="F226" s="106"/>
      <c r="G226" s="106"/>
      <c r="H226" s="107"/>
      <c r="I226" s="106"/>
      <c r="J226" s="106"/>
      <c r="K226" s="106"/>
      <c r="L226" s="106"/>
      <c r="M226" s="106"/>
      <c r="N226" s="108"/>
      <c r="O226" s="108" t="str">
        <f>IF(N226="","",IF('Event Dataset'!N226&lt;='Drop Downs and Assumptions'!$K$2,'Drop Downs and Assumptions'!$L$2,IF(AND('Event Dataset'!N226&gt;='Drop Downs and Assumptions'!$J$3,'Event Dataset'!N226&lt;='Drop Downs and Assumptions'!$K$3),'Drop Downs and Assumptions'!$L$3,IF(AND('Event Dataset'!N226&gt;='Drop Downs and Assumptions'!$J$4,'Event Dataset'!N226&lt;='Drop Downs and Assumptions'!$K$4),'Drop Downs and Assumptions'!$L$4,IF('Event Dataset'!N226&gt;='Drop Downs and Assumptions'!$J$5,'Drop Downs and Assumptions'!$L$5,"")))))</f>
        <v/>
      </c>
      <c r="P226" s="109"/>
      <c r="Q226" s="97"/>
      <c r="R226" s="110"/>
      <c r="S226" s="111"/>
      <c r="T226" s="111"/>
      <c r="U226" s="111"/>
      <c r="V226" s="111"/>
      <c r="W226" s="111"/>
      <c r="X226" s="111"/>
      <c r="Y226" s="111"/>
      <c r="Z226" s="111"/>
      <c r="AA226" s="111"/>
      <c r="AB226" s="111"/>
      <c r="AC226" s="112"/>
      <c r="AD226" s="113" t="str">
        <f t="shared" si="29"/>
        <v/>
      </c>
      <c r="AE226" s="114" t="str">
        <f t="shared" si="30"/>
        <v/>
      </c>
      <c r="AF226" s="115" t="str">
        <f t="shared" si="31"/>
        <v/>
      </c>
      <c r="AG226" s="116" t="str">
        <f t="shared" si="32"/>
        <v/>
      </c>
    </row>
    <row r="227" spans="1:33" x14ac:dyDescent="0.25">
      <c r="A227" s="16">
        <f t="shared" si="33"/>
        <v>224</v>
      </c>
      <c r="B227" s="31" t="str">
        <f t="shared" si="34"/>
        <v/>
      </c>
      <c r="C227" s="66" t="str">
        <f t="shared" si="28"/>
        <v/>
      </c>
      <c r="D227" s="92"/>
      <c r="E227" s="93"/>
      <c r="F227" s="93"/>
      <c r="G227" s="93"/>
      <c r="H227" s="94"/>
      <c r="I227" s="93"/>
      <c r="J227" s="93"/>
      <c r="K227" s="93"/>
      <c r="L227" s="93"/>
      <c r="M227" s="93"/>
      <c r="N227" s="95"/>
      <c r="O227" s="95" t="str">
        <f>IF(N227="","",IF('Event Dataset'!N227&lt;='Drop Downs and Assumptions'!$K$2,'Drop Downs and Assumptions'!$L$2,IF(AND('Event Dataset'!N227&gt;='Drop Downs and Assumptions'!$J$3,'Event Dataset'!N227&lt;='Drop Downs and Assumptions'!$K$3),'Drop Downs and Assumptions'!$L$3,IF(AND('Event Dataset'!N227&gt;='Drop Downs and Assumptions'!$J$4,'Event Dataset'!N227&lt;='Drop Downs and Assumptions'!$K$4),'Drop Downs and Assumptions'!$L$4,IF('Event Dataset'!N227&gt;='Drop Downs and Assumptions'!$J$5,'Drop Downs and Assumptions'!$L$5,"")))))</f>
        <v/>
      </c>
      <c r="P227" s="96"/>
      <c r="Q227" s="97"/>
      <c r="R227" s="98"/>
      <c r="S227" s="99"/>
      <c r="T227" s="99"/>
      <c r="U227" s="99"/>
      <c r="V227" s="99"/>
      <c r="W227" s="99"/>
      <c r="X227" s="99"/>
      <c r="Y227" s="99"/>
      <c r="Z227" s="99"/>
      <c r="AA227" s="99"/>
      <c r="AB227" s="99"/>
      <c r="AC227" s="100"/>
      <c r="AD227" s="101" t="str">
        <f t="shared" si="29"/>
        <v/>
      </c>
      <c r="AE227" s="102" t="str">
        <f t="shared" si="30"/>
        <v/>
      </c>
      <c r="AF227" s="103" t="str">
        <f t="shared" si="31"/>
        <v/>
      </c>
      <c r="AG227" s="104" t="str">
        <f t="shared" si="32"/>
        <v/>
      </c>
    </row>
    <row r="228" spans="1:33" x14ac:dyDescent="0.25">
      <c r="A228" s="4">
        <f t="shared" si="33"/>
        <v>225</v>
      </c>
      <c r="B228" s="30" t="str">
        <f t="shared" si="34"/>
        <v/>
      </c>
      <c r="C228" s="67" t="str">
        <f t="shared" si="28"/>
        <v/>
      </c>
      <c r="D228" s="105"/>
      <c r="E228" s="106"/>
      <c r="F228" s="106"/>
      <c r="G228" s="106"/>
      <c r="H228" s="107"/>
      <c r="I228" s="106"/>
      <c r="J228" s="106"/>
      <c r="K228" s="106"/>
      <c r="L228" s="106"/>
      <c r="M228" s="106"/>
      <c r="N228" s="108"/>
      <c r="O228" s="108" t="str">
        <f>IF(N228="","",IF('Event Dataset'!N228&lt;='Drop Downs and Assumptions'!$K$2,'Drop Downs and Assumptions'!$L$2,IF(AND('Event Dataset'!N228&gt;='Drop Downs and Assumptions'!$J$3,'Event Dataset'!N228&lt;='Drop Downs and Assumptions'!$K$3),'Drop Downs and Assumptions'!$L$3,IF(AND('Event Dataset'!N228&gt;='Drop Downs and Assumptions'!$J$4,'Event Dataset'!N228&lt;='Drop Downs and Assumptions'!$K$4),'Drop Downs and Assumptions'!$L$4,IF('Event Dataset'!N228&gt;='Drop Downs and Assumptions'!$J$5,'Drop Downs and Assumptions'!$L$5,"")))))</f>
        <v/>
      </c>
      <c r="P228" s="109"/>
      <c r="Q228" s="97"/>
      <c r="R228" s="110"/>
      <c r="S228" s="111"/>
      <c r="T228" s="111"/>
      <c r="U228" s="111"/>
      <c r="V228" s="111"/>
      <c r="W228" s="111"/>
      <c r="X228" s="111"/>
      <c r="Y228" s="111"/>
      <c r="Z228" s="111"/>
      <c r="AA228" s="111"/>
      <c r="AB228" s="111"/>
      <c r="AC228" s="112"/>
      <c r="AD228" s="113" t="str">
        <f t="shared" si="29"/>
        <v/>
      </c>
      <c r="AE228" s="114" t="str">
        <f t="shared" si="30"/>
        <v/>
      </c>
      <c r="AF228" s="115" t="str">
        <f t="shared" si="31"/>
        <v/>
      </c>
      <c r="AG228" s="116" t="str">
        <f t="shared" si="32"/>
        <v/>
      </c>
    </row>
    <row r="229" spans="1:33" x14ac:dyDescent="0.25">
      <c r="A229" s="16">
        <f t="shared" si="33"/>
        <v>226</v>
      </c>
      <c r="B229" s="31" t="str">
        <f t="shared" si="34"/>
        <v/>
      </c>
      <c r="C229" s="66" t="str">
        <f t="shared" si="28"/>
        <v/>
      </c>
      <c r="D229" s="92"/>
      <c r="E229" s="93"/>
      <c r="F229" s="93"/>
      <c r="G229" s="93"/>
      <c r="H229" s="94"/>
      <c r="I229" s="93"/>
      <c r="J229" s="93"/>
      <c r="K229" s="93"/>
      <c r="L229" s="93"/>
      <c r="M229" s="93"/>
      <c r="N229" s="95"/>
      <c r="O229" s="95" t="str">
        <f>IF(N229="","",IF('Event Dataset'!N229&lt;='Drop Downs and Assumptions'!$K$2,'Drop Downs and Assumptions'!$L$2,IF(AND('Event Dataset'!N229&gt;='Drop Downs and Assumptions'!$J$3,'Event Dataset'!N229&lt;='Drop Downs and Assumptions'!$K$3),'Drop Downs and Assumptions'!$L$3,IF(AND('Event Dataset'!N229&gt;='Drop Downs and Assumptions'!$J$4,'Event Dataset'!N229&lt;='Drop Downs and Assumptions'!$K$4),'Drop Downs and Assumptions'!$L$4,IF('Event Dataset'!N229&gt;='Drop Downs and Assumptions'!$J$5,'Drop Downs and Assumptions'!$L$5,"")))))</f>
        <v/>
      </c>
      <c r="P229" s="96"/>
      <c r="Q229" s="97"/>
      <c r="R229" s="98"/>
      <c r="S229" s="99"/>
      <c r="T229" s="99"/>
      <c r="U229" s="99"/>
      <c r="V229" s="99"/>
      <c r="W229" s="99"/>
      <c r="X229" s="99"/>
      <c r="Y229" s="99"/>
      <c r="Z229" s="99"/>
      <c r="AA229" s="99"/>
      <c r="AB229" s="99"/>
      <c r="AC229" s="100"/>
      <c r="AD229" s="101" t="str">
        <f t="shared" si="29"/>
        <v/>
      </c>
      <c r="AE229" s="102" t="str">
        <f t="shared" si="30"/>
        <v/>
      </c>
      <c r="AF229" s="103" t="str">
        <f t="shared" si="31"/>
        <v/>
      </c>
      <c r="AG229" s="104" t="str">
        <f t="shared" si="32"/>
        <v/>
      </c>
    </row>
    <row r="230" spans="1:33" x14ac:dyDescent="0.25">
      <c r="A230" s="4">
        <f t="shared" si="33"/>
        <v>227</v>
      </c>
      <c r="B230" s="30" t="str">
        <f t="shared" si="34"/>
        <v/>
      </c>
      <c r="C230" s="67" t="str">
        <f t="shared" si="28"/>
        <v/>
      </c>
      <c r="D230" s="105"/>
      <c r="E230" s="106"/>
      <c r="F230" s="106"/>
      <c r="G230" s="106"/>
      <c r="H230" s="107"/>
      <c r="I230" s="106"/>
      <c r="J230" s="106"/>
      <c r="K230" s="106"/>
      <c r="L230" s="106"/>
      <c r="M230" s="106"/>
      <c r="N230" s="108"/>
      <c r="O230" s="108" t="str">
        <f>IF(N230="","",IF('Event Dataset'!N230&lt;='Drop Downs and Assumptions'!$K$2,'Drop Downs and Assumptions'!$L$2,IF(AND('Event Dataset'!N230&gt;='Drop Downs and Assumptions'!$J$3,'Event Dataset'!N230&lt;='Drop Downs and Assumptions'!$K$3),'Drop Downs and Assumptions'!$L$3,IF(AND('Event Dataset'!N230&gt;='Drop Downs and Assumptions'!$J$4,'Event Dataset'!N230&lt;='Drop Downs and Assumptions'!$K$4),'Drop Downs and Assumptions'!$L$4,IF('Event Dataset'!N230&gt;='Drop Downs and Assumptions'!$J$5,'Drop Downs and Assumptions'!$L$5,"")))))</f>
        <v/>
      </c>
      <c r="P230" s="109"/>
      <c r="Q230" s="97"/>
      <c r="R230" s="110"/>
      <c r="S230" s="111"/>
      <c r="T230" s="111"/>
      <c r="U230" s="111"/>
      <c r="V230" s="111"/>
      <c r="W230" s="111"/>
      <c r="X230" s="111"/>
      <c r="Y230" s="111"/>
      <c r="Z230" s="111"/>
      <c r="AA230" s="111"/>
      <c r="AB230" s="111"/>
      <c r="AC230" s="112"/>
      <c r="AD230" s="113" t="str">
        <f t="shared" si="29"/>
        <v/>
      </c>
      <c r="AE230" s="114" t="str">
        <f t="shared" si="30"/>
        <v/>
      </c>
      <c r="AF230" s="115" t="str">
        <f t="shared" si="31"/>
        <v/>
      </c>
      <c r="AG230" s="116" t="str">
        <f t="shared" si="32"/>
        <v/>
      </c>
    </row>
    <row r="231" spans="1:33" x14ac:dyDescent="0.25">
      <c r="A231" s="16">
        <f t="shared" si="33"/>
        <v>228</v>
      </c>
      <c r="B231" s="31" t="str">
        <f t="shared" si="34"/>
        <v/>
      </c>
      <c r="C231" s="66" t="str">
        <f t="shared" si="28"/>
        <v/>
      </c>
      <c r="D231" s="92"/>
      <c r="E231" s="93"/>
      <c r="F231" s="93"/>
      <c r="G231" s="93"/>
      <c r="H231" s="94"/>
      <c r="I231" s="93"/>
      <c r="J231" s="93"/>
      <c r="K231" s="93"/>
      <c r="L231" s="93"/>
      <c r="M231" s="93"/>
      <c r="N231" s="95"/>
      <c r="O231" s="95" t="str">
        <f>IF(N231="","",IF('Event Dataset'!N231&lt;='Drop Downs and Assumptions'!$K$2,'Drop Downs and Assumptions'!$L$2,IF(AND('Event Dataset'!N231&gt;='Drop Downs and Assumptions'!$J$3,'Event Dataset'!N231&lt;='Drop Downs and Assumptions'!$K$3),'Drop Downs and Assumptions'!$L$3,IF(AND('Event Dataset'!N231&gt;='Drop Downs and Assumptions'!$J$4,'Event Dataset'!N231&lt;='Drop Downs and Assumptions'!$K$4),'Drop Downs and Assumptions'!$L$4,IF('Event Dataset'!N231&gt;='Drop Downs and Assumptions'!$J$5,'Drop Downs and Assumptions'!$L$5,"")))))</f>
        <v/>
      </c>
      <c r="P231" s="96"/>
      <c r="Q231" s="97"/>
      <c r="R231" s="98"/>
      <c r="S231" s="99"/>
      <c r="T231" s="99"/>
      <c r="U231" s="99"/>
      <c r="V231" s="99"/>
      <c r="W231" s="99"/>
      <c r="X231" s="99"/>
      <c r="Y231" s="99"/>
      <c r="Z231" s="99"/>
      <c r="AA231" s="99"/>
      <c r="AB231" s="99"/>
      <c r="AC231" s="100"/>
      <c r="AD231" s="101" t="str">
        <f t="shared" si="29"/>
        <v/>
      </c>
      <c r="AE231" s="102" t="str">
        <f t="shared" si="30"/>
        <v/>
      </c>
      <c r="AF231" s="103" t="str">
        <f t="shared" si="31"/>
        <v/>
      </c>
      <c r="AG231" s="104" t="str">
        <f t="shared" si="32"/>
        <v/>
      </c>
    </row>
    <row r="232" spans="1:33" x14ac:dyDescent="0.25">
      <c r="A232" s="4">
        <f t="shared" si="33"/>
        <v>229</v>
      </c>
      <c r="B232" s="30" t="str">
        <f t="shared" si="34"/>
        <v/>
      </c>
      <c r="C232" s="67" t="str">
        <f t="shared" si="28"/>
        <v/>
      </c>
      <c r="D232" s="105"/>
      <c r="E232" s="106"/>
      <c r="F232" s="106"/>
      <c r="G232" s="106"/>
      <c r="H232" s="107"/>
      <c r="I232" s="106"/>
      <c r="J232" s="106"/>
      <c r="K232" s="106"/>
      <c r="L232" s="106"/>
      <c r="M232" s="106"/>
      <c r="N232" s="108"/>
      <c r="O232" s="108" t="str">
        <f>IF(N232="","",IF('Event Dataset'!N232&lt;='Drop Downs and Assumptions'!$K$2,'Drop Downs and Assumptions'!$L$2,IF(AND('Event Dataset'!N232&gt;='Drop Downs and Assumptions'!$J$3,'Event Dataset'!N232&lt;='Drop Downs and Assumptions'!$K$3),'Drop Downs and Assumptions'!$L$3,IF(AND('Event Dataset'!N232&gt;='Drop Downs and Assumptions'!$J$4,'Event Dataset'!N232&lt;='Drop Downs and Assumptions'!$K$4),'Drop Downs and Assumptions'!$L$4,IF('Event Dataset'!N232&gt;='Drop Downs and Assumptions'!$J$5,'Drop Downs and Assumptions'!$L$5,"")))))</f>
        <v/>
      </c>
      <c r="P232" s="109"/>
      <c r="Q232" s="97"/>
      <c r="R232" s="110"/>
      <c r="S232" s="111"/>
      <c r="T232" s="111"/>
      <c r="U232" s="111"/>
      <c r="V232" s="111"/>
      <c r="W232" s="111"/>
      <c r="X232" s="111"/>
      <c r="Y232" s="111"/>
      <c r="Z232" s="111"/>
      <c r="AA232" s="111"/>
      <c r="AB232" s="111"/>
      <c r="AC232" s="112"/>
      <c r="AD232" s="113" t="str">
        <f t="shared" si="29"/>
        <v/>
      </c>
      <c r="AE232" s="114" t="str">
        <f t="shared" si="30"/>
        <v/>
      </c>
      <c r="AF232" s="115" t="str">
        <f t="shared" si="31"/>
        <v/>
      </c>
      <c r="AG232" s="116" t="str">
        <f t="shared" si="32"/>
        <v/>
      </c>
    </row>
    <row r="233" spans="1:33" x14ac:dyDescent="0.25">
      <c r="A233" s="16">
        <f t="shared" si="33"/>
        <v>230</v>
      </c>
      <c r="B233" s="31" t="str">
        <f t="shared" si="34"/>
        <v/>
      </c>
      <c r="C233" s="66" t="str">
        <f t="shared" si="28"/>
        <v/>
      </c>
      <c r="D233" s="92"/>
      <c r="E233" s="93"/>
      <c r="F233" s="93"/>
      <c r="G233" s="93"/>
      <c r="H233" s="94"/>
      <c r="I233" s="93"/>
      <c r="J233" s="93"/>
      <c r="K233" s="93"/>
      <c r="L233" s="93"/>
      <c r="M233" s="93"/>
      <c r="N233" s="95"/>
      <c r="O233" s="95" t="str">
        <f>IF(N233="","",IF('Event Dataset'!N233&lt;='Drop Downs and Assumptions'!$K$2,'Drop Downs and Assumptions'!$L$2,IF(AND('Event Dataset'!N233&gt;='Drop Downs and Assumptions'!$J$3,'Event Dataset'!N233&lt;='Drop Downs and Assumptions'!$K$3),'Drop Downs and Assumptions'!$L$3,IF(AND('Event Dataset'!N233&gt;='Drop Downs and Assumptions'!$J$4,'Event Dataset'!N233&lt;='Drop Downs and Assumptions'!$K$4),'Drop Downs and Assumptions'!$L$4,IF('Event Dataset'!N233&gt;='Drop Downs and Assumptions'!$J$5,'Drop Downs and Assumptions'!$L$5,"")))))</f>
        <v/>
      </c>
      <c r="P233" s="96"/>
      <c r="Q233" s="97"/>
      <c r="R233" s="98"/>
      <c r="S233" s="99"/>
      <c r="T233" s="99"/>
      <c r="U233" s="99"/>
      <c r="V233" s="99"/>
      <c r="W233" s="99"/>
      <c r="X233" s="99"/>
      <c r="Y233" s="99"/>
      <c r="Z233" s="99"/>
      <c r="AA233" s="99"/>
      <c r="AB233" s="99"/>
      <c r="AC233" s="100"/>
      <c r="AD233" s="101" t="str">
        <f t="shared" si="29"/>
        <v/>
      </c>
      <c r="AE233" s="102" t="str">
        <f t="shared" si="30"/>
        <v/>
      </c>
      <c r="AF233" s="103" t="str">
        <f t="shared" si="31"/>
        <v/>
      </c>
      <c r="AG233" s="104" t="str">
        <f t="shared" si="32"/>
        <v/>
      </c>
    </row>
    <row r="234" spans="1:33" x14ac:dyDescent="0.25">
      <c r="A234" s="4">
        <f t="shared" si="33"/>
        <v>231</v>
      </c>
      <c r="B234" s="30" t="str">
        <f t="shared" si="34"/>
        <v/>
      </c>
      <c r="C234" s="67" t="str">
        <f t="shared" si="28"/>
        <v/>
      </c>
      <c r="D234" s="105"/>
      <c r="E234" s="106"/>
      <c r="F234" s="106"/>
      <c r="G234" s="106"/>
      <c r="H234" s="107"/>
      <c r="I234" s="106"/>
      <c r="J234" s="106"/>
      <c r="K234" s="106"/>
      <c r="L234" s="106"/>
      <c r="M234" s="106"/>
      <c r="N234" s="108"/>
      <c r="O234" s="108" t="str">
        <f>IF(N234="","",IF('Event Dataset'!N234&lt;='Drop Downs and Assumptions'!$K$2,'Drop Downs and Assumptions'!$L$2,IF(AND('Event Dataset'!N234&gt;='Drop Downs and Assumptions'!$J$3,'Event Dataset'!N234&lt;='Drop Downs and Assumptions'!$K$3),'Drop Downs and Assumptions'!$L$3,IF(AND('Event Dataset'!N234&gt;='Drop Downs and Assumptions'!$J$4,'Event Dataset'!N234&lt;='Drop Downs and Assumptions'!$K$4),'Drop Downs and Assumptions'!$L$4,IF('Event Dataset'!N234&gt;='Drop Downs and Assumptions'!$J$5,'Drop Downs and Assumptions'!$L$5,"")))))</f>
        <v/>
      </c>
      <c r="P234" s="109"/>
      <c r="Q234" s="97"/>
      <c r="R234" s="110"/>
      <c r="S234" s="111"/>
      <c r="T234" s="111"/>
      <c r="U234" s="111"/>
      <c r="V234" s="111"/>
      <c r="W234" s="111"/>
      <c r="X234" s="111"/>
      <c r="Y234" s="111"/>
      <c r="Z234" s="111"/>
      <c r="AA234" s="111"/>
      <c r="AB234" s="111"/>
      <c r="AC234" s="112"/>
      <c r="AD234" s="113" t="str">
        <f t="shared" si="29"/>
        <v/>
      </c>
      <c r="AE234" s="114" t="str">
        <f t="shared" si="30"/>
        <v/>
      </c>
      <c r="AF234" s="115" t="str">
        <f t="shared" si="31"/>
        <v/>
      </c>
      <c r="AG234" s="116" t="str">
        <f t="shared" si="32"/>
        <v/>
      </c>
    </row>
    <row r="235" spans="1:33" x14ac:dyDescent="0.25">
      <c r="A235" s="16">
        <f t="shared" si="33"/>
        <v>232</v>
      </c>
      <c r="B235" s="31" t="str">
        <f t="shared" si="34"/>
        <v/>
      </c>
      <c r="C235" s="66" t="str">
        <f t="shared" si="28"/>
        <v/>
      </c>
      <c r="D235" s="92"/>
      <c r="E235" s="93"/>
      <c r="F235" s="93"/>
      <c r="G235" s="93"/>
      <c r="H235" s="94"/>
      <c r="I235" s="93"/>
      <c r="J235" s="93"/>
      <c r="K235" s="93"/>
      <c r="L235" s="93"/>
      <c r="M235" s="93"/>
      <c r="N235" s="95"/>
      <c r="O235" s="95" t="str">
        <f>IF(N235="","",IF('Event Dataset'!N235&lt;='Drop Downs and Assumptions'!$K$2,'Drop Downs and Assumptions'!$L$2,IF(AND('Event Dataset'!N235&gt;='Drop Downs and Assumptions'!$J$3,'Event Dataset'!N235&lt;='Drop Downs and Assumptions'!$K$3),'Drop Downs and Assumptions'!$L$3,IF(AND('Event Dataset'!N235&gt;='Drop Downs and Assumptions'!$J$4,'Event Dataset'!N235&lt;='Drop Downs and Assumptions'!$K$4),'Drop Downs and Assumptions'!$L$4,IF('Event Dataset'!N235&gt;='Drop Downs and Assumptions'!$J$5,'Drop Downs and Assumptions'!$L$5,"")))))</f>
        <v/>
      </c>
      <c r="P235" s="96"/>
      <c r="Q235" s="97"/>
      <c r="R235" s="98"/>
      <c r="S235" s="99"/>
      <c r="T235" s="99"/>
      <c r="U235" s="99"/>
      <c r="V235" s="99"/>
      <c r="W235" s="99"/>
      <c r="X235" s="99"/>
      <c r="Y235" s="99"/>
      <c r="Z235" s="99"/>
      <c r="AA235" s="99"/>
      <c r="AB235" s="99"/>
      <c r="AC235" s="100"/>
      <c r="AD235" s="101" t="str">
        <f t="shared" si="29"/>
        <v/>
      </c>
      <c r="AE235" s="102" t="str">
        <f t="shared" si="30"/>
        <v/>
      </c>
      <c r="AF235" s="103" t="str">
        <f t="shared" si="31"/>
        <v/>
      </c>
      <c r="AG235" s="104" t="str">
        <f t="shared" si="32"/>
        <v/>
      </c>
    </row>
    <row r="236" spans="1:33" x14ac:dyDescent="0.25">
      <c r="A236" s="4">
        <f t="shared" si="33"/>
        <v>233</v>
      </c>
      <c r="B236" s="30" t="str">
        <f t="shared" si="34"/>
        <v/>
      </c>
      <c r="C236" s="67" t="str">
        <f t="shared" si="28"/>
        <v/>
      </c>
      <c r="D236" s="105"/>
      <c r="E236" s="106"/>
      <c r="F236" s="106"/>
      <c r="G236" s="106"/>
      <c r="H236" s="107"/>
      <c r="I236" s="106"/>
      <c r="J236" s="106"/>
      <c r="K236" s="106"/>
      <c r="L236" s="106"/>
      <c r="M236" s="106"/>
      <c r="N236" s="108"/>
      <c r="O236" s="108" t="str">
        <f>IF(N236="","",IF('Event Dataset'!N236&lt;='Drop Downs and Assumptions'!$K$2,'Drop Downs and Assumptions'!$L$2,IF(AND('Event Dataset'!N236&gt;='Drop Downs and Assumptions'!$J$3,'Event Dataset'!N236&lt;='Drop Downs and Assumptions'!$K$3),'Drop Downs and Assumptions'!$L$3,IF(AND('Event Dataset'!N236&gt;='Drop Downs and Assumptions'!$J$4,'Event Dataset'!N236&lt;='Drop Downs and Assumptions'!$K$4),'Drop Downs and Assumptions'!$L$4,IF('Event Dataset'!N236&gt;='Drop Downs and Assumptions'!$J$5,'Drop Downs and Assumptions'!$L$5,"")))))</f>
        <v/>
      </c>
      <c r="P236" s="109"/>
      <c r="Q236" s="97"/>
      <c r="R236" s="110"/>
      <c r="S236" s="111"/>
      <c r="T236" s="111"/>
      <c r="U236" s="111"/>
      <c r="V236" s="111"/>
      <c r="W236" s="111"/>
      <c r="X236" s="111"/>
      <c r="Y236" s="111"/>
      <c r="Z236" s="111"/>
      <c r="AA236" s="111"/>
      <c r="AB236" s="111"/>
      <c r="AC236" s="112"/>
      <c r="AD236" s="113" t="str">
        <f t="shared" si="29"/>
        <v/>
      </c>
      <c r="AE236" s="114" t="str">
        <f t="shared" si="30"/>
        <v/>
      </c>
      <c r="AF236" s="115" t="str">
        <f t="shared" si="31"/>
        <v/>
      </c>
      <c r="AG236" s="116" t="str">
        <f t="shared" si="32"/>
        <v/>
      </c>
    </row>
    <row r="237" spans="1:33" x14ac:dyDescent="0.25">
      <c r="A237" s="16">
        <f t="shared" si="33"/>
        <v>234</v>
      </c>
      <c r="B237" s="31" t="str">
        <f t="shared" si="34"/>
        <v/>
      </c>
      <c r="C237" s="66" t="str">
        <f t="shared" si="28"/>
        <v/>
      </c>
      <c r="D237" s="92"/>
      <c r="E237" s="93"/>
      <c r="F237" s="93"/>
      <c r="G237" s="93"/>
      <c r="H237" s="94"/>
      <c r="I237" s="93"/>
      <c r="J237" s="93"/>
      <c r="K237" s="93"/>
      <c r="L237" s="93"/>
      <c r="M237" s="93"/>
      <c r="N237" s="95"/>
      <c r="O237" s="95" t="str">
        <f>IF(N237="","",IF('Event Dataset'!N237&lt;='Drop Downs and Assumptions'!$K$2,'Drop Downs and Assumptions'!$L$2,IF(AND('Event Dataset'!N237&gt;='Drop Downs and Assumptions'!$J$3,'Event Dataset'!N237&lt;='Drop Downs and Assumptions'!$K$3),'Drop Downs and Assumptions'!$L$3,IF(AND('Event Dataset'!N237&gt;='Drop Downs and Assumptions'!$J$4,'Event Dataset'!N237&lt;='Drop Downs and Assumptions'!$K$4),'Drop Downs and Assumptions'!$L$4,IF('Event Dataset'!N237&gt;='Drop Downs and Assumptions'!$J$5,'Drop Downs and Assumptions'!$L$5,"")))))</f>
        <v/>
      </c>
      <c r="P237" s="96"/>
      <c r="Q237" s="97"/>
      <c r="R237" s="98"/>
      <c r="S237" s="99"/>
      <c r="T237" s="99"/>
      <c r="U237" s="99"/>
      <c r="V237" s="99"/>
      <c r="W237" s="99"/>
      <c r="X237" s="99"/>
      <c r="Y237" s="99"/>
      <c r="Z237" s="99"/>
      <c r="AA237" s="99"/>
      <c r="AB237" s="99"/>
      <c r="AC237" s="100"/>
      <c r="AD237" s="101" t="str">
        <f t="shared" si="29"/>
        <v/>
      </c>
      <c r="AE237" s="102" t="str">
        <f t="shared" si="30"/>
        <v/>
      </c>
      <c r="AF237" s="103" t="str">
        <f t="shared" si="31"/>
        <v/>
      </c>
      <c r="AG237" s="104" t="str">
        <f t="shared" si="32"/>
        <v/>
      </c>
    </row>
    <row r="238" spans="1:33" x14ac:dyDescent="0.25">
      <c r="A238" s="4">
        <f t="shared" si="33"/>
        <v>235</v>
      </c>
      <c r="B238" s="30" t="str">
        <f t="shared" si="34"/>
        <v/>
      </c>
      <c r="C238" s="67" t="str">
        <f t="shared" si="28"/>
        <v/>
      </c>
      <c r="D238" s="105"/>
      <c r="E238" s="106"/>
      <c r="F238" s="106"/>
      <c r="G238" s="106"/>
      <c r="H238" s="107"/>
      <c r="I238" s="106"/>
      <c r="J238" s="106"/>
      <c r="K238" s="106"/>
      <c r="L238" s="106"/>
      <c r="M238" s="106"/>
      <c r="N238" s="108"/>
      <c r="O238" s="108" t="str">
        <f>IF(N238="","",IF('Event Dataset'!N238&lt;='Drop Downs and Assumptions'!$K$2,'Drop Downs and Assumptions'!$L$2,IF(AND('Event Dataset'!N238&gt;='Drop Downs and Assumptions'!$J$3,'Event Dataset'!N238&lt;='Drop Downs and Assumptions'!$K$3),'Drop Downs and Assumptions'!$L$3,IF(AND('Event Dataset'!N238&gt;='Drop Downs and Assumptions'!$J$4,'Event Dataset'!N238&lt;='Drop Downs and Assumptions'!$K$4),'Drop Downs and Assumptions'!$L$4,IF('Event Dataset'!N238&gt;='Drop Downs and Assumptions'!$J$5,'Drop Downs and Assumptions'!$L$5,"")))))</f>
        <v/>
      </c>
      <c r="P238" s="109"/>
      <c r="Q238" s="97"/>
      <c r="R238" s="110"/>
      <c r="S238" s="111"/>
      <c r="T238" s="111"/>
      <c r="U238" s="111"/>
      <c r="V238" s="111"/>
      <c r="W238" s="111"/>
      <c r="X238" s="111"/>
      <c r="Y238" s="111"/>
      <c r="Z238" s="111"/>
      <c r="AA238" s="111"/>
      <c r="AB238" s="111"/>
      <c r="AC238" s="112"/>
      <c r="AD238" s="113" t="str">
        <f t="shared" si="29"/>
        <v/>
      </c>
      <c r="AE238" s="114" t="str">
        <f t="shared" si="30"/>
        <v/>
      </c>
      <c r="AF238" s="115" t="str">
        <f t="shared" si="31"/>
        <v/>
      </c>
      <c r="AG238" s="116" t="str">
        <f t="shared" si="32"/>
        <v/>
      </c>
    </row>
    <row r="239" spans="1:33" x14ac:dyDescent="0.25">
      <c r="A239" s="16">
        <f t="shared" si="33"/>
        <v>236</v>
      </c>
      <c r="B239" s="31" t="str">
        <f t="shared" si="34"/>
        <v/>
      </c>
      <c r="C239" s="66" t="str">
        <f t="shared" si="28"/>
        <v/>
      </c>
      <c r="D239" s="92"/>
      <c r="E239" s="93"/>
      <c r="F239" s="93"/>
      <c r="G239" s="93"/>
      <c r="H239" s="94"/>
      <c r="I239" s="93"/>
      <c r="J239" s="93"/>
      <c r="K239" s="93"/>
      <c r="L239" s="93"/>
      <c r="M239" s="93"/>
      <c r="N239" s="95"/>
      <c r="O239" s="95" t="str">
        <f>IF(N239="","",IF('Event Dataset'!N239&lt;='Drop Downs and Assumptions'!$K$2,'Drop Downs and Assumptions'!$L$2,IF(AND('Event Dataset'!N239&gt;='Drop Downs and Assumptions'!$J$3,'Event Dataset'!N239&lt;='Drop Downs and Assumptions'!$K$3),'Drop Downs and Assumptions'!$L$3,IF(AND('Event Dataset'!N239&gt;='Drop Downs and Assumptions'!$J$4,'Event Dataset'!N239&lt;='Drop Downs and Assumptions'!$K$4),'Drop Downs and Assumptions'!$L$4,IF('Event Dataset'!N239&gt;='Drop Downs and Assumptions'!$J$5,'Drop Downs and Assumptions'!$L$5,"")))))</f>
        <v/>
      </c>
      <c r="P239" s="96"/>
      <c r="Q239" s="97"/>
      <c r="R239" s="98"/>
      <c r="S239" s="99"/>
      <c r="T239" s="99"/>
      <c r="U239" s="99"/>
      <c r="V239" s="99"/>
      <c r="W239" s="99"/>
      <c r="X239" s="99"/>
      <c r="Y239" s="99"/>
      <c r="Z239" s="99"/>
      <c r="AA239" s="99"/>
      <c r="AB239" s="99"/>
      <c r="AC239" s="100"/>
      <c r="AD239" s="101" t="str">
        <f t="shared" si="29"/>
        <v/>
      </c>
      <c r="AE239" s="102" t="str">
        <f t="shared" si="30"/>
        <v/>
      </c>
      <c r="AF239" s="103" t="str">
        <f t="shared" si="31"/>
        <v/>
      </c>
      <c r="AG239" s="104" t="str">
        <f t="shared" si="32"/>
        <v/>
      </c>
    </row>
    <row r="240" spans="1:33" x14ac:dyDescent="0.25">
      <c r="A240" s="4">
        <f t="shared" si="33"/>
        <v>237</v>
      </c>
      <c r="B240" s="30" t="str">
        <f t="shared" si="34"/>
        <v/>
      </c>
      <c r="C240" s="67" t="str">
        <f t="shared" ref="C240:C303" si="35">IFERROR(RANK(AG240,$AG$4:$AG$470,1),"")</f>
        <v/>
      </c>
      <c r="D240" s="105"/>
      <c r="E240" s="106"/>
      <c r="F240" s="106"/>
      <c r="G240" s="106"/>
      <c r="H240" s="107"/>
      <c r="I240" s="106"/>
      <c r="J240" s="106"/>
      <c r="K240" s="106"/>
      <c r="L240" s="106"/>
      <c r="M240" s="106"/>
      <c r="N240" s="108"/>
      <c r="O240" s="108" t="str">
        <f>IF(N240="","",IF('Event Dataset'!N240&lt;='Drop Downs and Assumptions'!$K$2,'Drop Downs and Assumptions'!$L$2,IF(AND('Event Dataset'!N240&gt;='Drop Downs and Assumptions'!$J$3,'Event Dataset'!N240&lt;='Drop Downs and Assumptions'!$K$3),'Drop Downs and Assumptions'!$L$3,IF(AND('Event Dataset'!N240&gt;='Drop Downs and Assumptions'!$J$4,'Event Dataset'!N240&lt;='Drop Downs and Assumptions'!$K$4),'Drop Downs and Assumptions'!$L$4,IF('Event Dataset'!N240&gt;='Drop Downs and Assumptions'!$J$5,'Drop Downs and Assumptions'!$L$5,"")))))</f>
        <v/>
      </c>
      <c r="P240" s="109"/>
      <c r="Q240" s="97"/>
      <c r="R240" s="110"/>
      <c r="S240" s="111"/>
      <c r="T240" s="111"/>
      <c r="U240" s="111"/>
      <c r="V240" s="111"/>
      <c r="W240" s="111"/>
      <c r="X240" s="111"/>
      <c r="Y240" s="111"/>
      <c r="Z240" s="111"/>
      <c r="AA240" s="111"/>
      <c r="AB240" s="111"/>
      <c r="AC240" s="112"/>
      <c r="AD240" s="113" t="str">
        <f t="shared" ref="AD240:AD303" si="36">IF(SUM(R240:AC240)=0,"",SUM(R240:AC240))</f>
        <v/>
      </c>
      <c r="AE240" s="114" t="str">
        <f t="shared" ref="AE240:AE303" si="37">IFERROR((SUMIF($R$3:$AC$3,"Recycling",$R240:$AC240)+SUMIF($R$3:$AC$3,"Reuse",$R240:$AC240)+SUMIF($R$3:$AC$3,"Alternative Fuels",$R240:$AC240))/AD240,"")</f>
        <v/>
      </c>
      <c r="AF240" s="115" t="str">
        <f t="shared" ref="AF240:AF303" si="38">IFERROR((SUMIF($R$3:$AC$3,"Recycling",$R240:$AC240))/AD240,"")</f>
        <v/>
      </c>
      <c r="AG240" s="116" t="str">
        <f t="shared" si="32"/>
        <v/>
      </c>
    </row>
    <row r="241" spans="1:33" x14ac:dyDescent="0.25">
      <c r="A241" s="16">
        <f t="shared" si="33"/>
        <v>238</v>
      </c>
      <c r="B241" s="31" t="str">
        <f t="shared" si="34"/>
        <v/>
      </c>
      <c r="C241" s="66" t="str">
        <f t="shared" si="35"/>
        <v/>
      </c>
      <c r="D241" s="92"/>
      <c r="E241" s="93"/>
      <c r="F241" s="93"/>
      <c r="G241" s="93"/>
      <c r="H241" s="94"/>
      <c r="I241" s="93"/>
      <c r="J241" s="93"/>
      <c r="K241" s="93"/>
      <c r="L241" s="93"/>
      <c r="M241" s="93"/>
      <c r="N241" s="95"/>
      <c r="O241" s="95" t="str">
        <f>IF(N241="","",IF('Event Dataset'!N241&lt;='Drop Downs and Assumptions'!$K$2,'Drop Downs and Assumptions'!$L$2,IF(AND('Event Dataset'!N241&gt;='Drop Downs and Assumptions'!$J$3,'Event Dataset'!N241&lt;='Drop Downs and Assumptions'!$K$3),'Drop Downs and Assumptions'!$L$3,IF(AND('Event Dataset'!N241&gt;='Drop Downs and Assumptions'!$J$4,'Event Dataset'!N241&lt;='Drop Downs and Assumptions'!$K$4),'Drop Downs and Assumptions'!$L$4,IF('Event Dataset'!N241&gt;='Drop Downs and Assumptions'!$J$5,'Drop Downs and Assumptions'!$L$5,"")))))</f>
        <v/>
      </c>
      <c r="P241" s="96"/>
      <c r="Q241" s="97"/>
      <c r="R241" s="98"/>
      <c r="S241" s="99"/>
      <c r="T241" s="99"/>
      <c r="U241" s="99"/>
      <c r="V241" s="99"/>
      <c r="W241" s="99"/>
      <c r="X241" s="99"/>
      <c r="Y241" s="99"/>
      <c r="Z241" s="99"/>
      <c r="AA241" s="99"/>
      <c r="AB241" s="99"/>
      <c r="AC241" s="100"/>
      <c r="AD241" s="101" t="str">
        <f t="shared" si="36"/>
        <v/>
      </c>
      <c r="AE241" s="102" t="str">
        <f t="shared" si="37"/>
        <v/>
      </c>
      <c r="AF241" s="103" t="str">
        <f t="shared" si="38"/>
        <v/>
      </c>
      <c r="AG241" s="104" t="str">
        <f t="shared" si="32"/>
        <v/>
      </c>
    </row>
    <row r="242" spans="1:33" x14ac:dyDescent="0.25">
      <c r="A242" s="4">
        <f t="shared" si="33"/>
        <v>239</v>
      </c>
      <c r="B242" s="30" t="str">
        <f t="shared" si="34"/>
        <v/>
      </c>
      <c r="C242" s="67" t="str">
        <f t="shared" si="35"/>
        <v/>
      </c>
      <c r="D242" s="105"/>
      <c r="E242" s="106"/>
      <c r="F242" s="106"/>
      <c r="G242" s="106"/>
      <c r="H242" s="107"/>
      <c r="I242" s="106"/>
      <c r="J242" s="106"/>
      <c r="K242" s="106"/>
      <c r="L242" s="106"/>
      <c r="M242" s="106"/>
      <c r="N242" s="108"/>
      <c r="O242" s="108" t="str">
        <f>IF(N242="","",IF('Event Dataset'!N242&lt;='Drop Downs and Assumptions'!$K$2,'Drop Downs and Assumptions'!$L$2,IF(AND('Event Dataset'!N242&gt;='Drop Downs and Assumptions'!$J$3,'Event Dataset'!N242&lt;='Drop Downs and Assumptions'!$K$3),'Drop Downs and Assumptions'!$L$3,IF(AND('Event Dataset'!N242&gt;='Drop Downs and Assumptions'!$J$4,'Event Dataset'!N242&lt;='Drop Downs and Assumptions'!$K$4),'Drop Downs and Assumptions'!$L$4,IF('Event Dataset'!N242&gt;='Drop Downs and Assumptions'!$J$5,'Drop Downs and Assumptions'!$L$5,"")))))</f>
        <v/>
      </c>
      <c r="P242" s="109"/>
      <c r="Q242" s="97"/>
      <c r="R242" s="110"/>
      <c r="S242" s="111"/>
      <c r="T242" s="111"/>
      <c r="U242" s="111"/>
      <c r="V242" s="111"/>
      <c r="W242" s="111"/>
      <c r="X242" s="111"/>
      <c r="Y242" s="111"/>
      <c r="Z242" s="111"/>
      <c r="AA242" s="111"/>
      <c r="AB242" s="111"/>
      <c r="AC242" s="112"/>
      <c r="AD242" s="113" t="str">
        <f t="shared" si="36"/>
        <v/>
      </c>
      <c r="AE242" s="114" t="str">
        <f t="shared" si="37"/>
        <v/>
      </c>
      <c r="AF242" s="115" t="str">
        <f t="shared" si="38"/>
        <v/>
      </c>
      <c r="AG242" s="116" t="str">
        <f t="shared" si="32"/>
        <v/>
      </c>
    </row>
    <row r="243" spans="1:33" x14ac:dyDescent="0.25">
      <c r="A243" s="16">
        <f t="shared" si="33"/>
        <v>240</v>
      </c>
      <c r="B243" s="31" t="str">
        <f t="shared" si="34"/>
        <v/>
      </c>
      <c r="C243" s="66" t="str">
        <f t="shared" si="35"/>
        <v/>
      </c>
      <c r="D243" s="92"/>
      <c r="E243" s="93"/>
      <c r="F243" s="93"/>
      <c r="G243" s="93"/>
      <c r="H243" s="94"/>
      <c r="I243" s="93"/>
      <c r="J243" s="93"/>
      <c r="K243" s="93"/>
      <c r="L243" s="93"/>
      <c r="M243" s="93"/>
      <c r="N243" s="95"/>
      <c r="O243" s="95" t="str">
        <f>IF(N243="","",IF('Event Dataset'!N243&lt;='Drop Downs and Assumptions'!$K$2,'Drop Downs and Assumptions'!$L$2,IF(AND('Event Dataset'!N243&gt;='Drop Downs and Assumptions'!$J$3,'Event Dataset'!N243&lt;='Drop Downs and Assumptions'!$K$3),'Drop Downs and Assumptions'!$L$3,IF(AND('Event Dataset'!N243&gt;='Drop Downs and Assumptions'!$J$4,'Event Dataset'!N243&lt;='Drop Downs and Assumptions'!$K$4),'Drop Downs and Assumptions'!$L$4,IF('Event Dataset'!N243&gt;='Drop Downs and Assumptions'!$J$5,'Drop Downs and Assumptions'!$L$5,"")))))</f>
        <v/>
      </c>
      <c r="P243" s="96"/>
      <c r="Q243" s="97"/>
      <c r="R243" s="98"/>
      <c r="S243" s="99"/>
      <c r="T243" s="99"/>
      <c r="U243" s="99"/>
      <c r="V243" s="99"/>
      <c r="W243" s="99"/>
      <c r="X243" s="99"/>
      <c r="Y243" s="99"/>
      <c r="Z243" s="99"/>
      <c r="AA243" s="99"/>
      <c r="AB243" s="99"/>
      <c r="AC243" s="100"/>
      <c r="AD243" s="101" t="str">
        <f t="shared" si="36"/>
        <v/>
      </c>
      <c r="AE243" s="102" t="str">
        <f t="shared" si="37"/>
        <v/>
      </c>
      <c r="AF243" s="103" t="str">
        <f t="shared" si="38"/>
        <v/>
      </c>
      <c r="AG243" s="104" t="str">
        <f t="shared" si="32"/>
        <v/>
      </c>
    </row>
    <row r="244" spans="1:33" x14ac:dyDescent="0.25">
      <c r="A244" s="4">
        <f t="shared" si="33"/>
        <v>241</v>
      </c>
      <c r="B244" s="30" t="str">
        <f t="shared" si="34"/>
        <v/>
      </c>
      <c r="C244" s="67" t="str">
        <f t="shared" si="35"/>
        <v/>
      </c>
      <c r="D244" s="105"/>
      <c r="E244" s="106"/>
      <c r="F244" s="106"/>
      <c r="G244" s="106"/>
      <c r="H244" s="107"/>
      <c r="I244" s="106"/>
      <c r="J244" s="106"/>
      <c r="K244" s="106"/>
      <c r="L244" s="106"/>
      <c r="M244" s="106"/>
      <c r="N244" s="108"/>
      <c r="O244" s="108" t="str">
        <f>IF(N244="","",IF('Event Dataset'!N244&lt;='Drop Downs and Assumptions'!$K$2,'Drop Downs and Assumptions'!$L$2,IF(AND('Event Dataset'!N244&gt;='Drop Downs and Assumptions'!$J$3,'Event Dataset'!N244&lt;='Drop Downs and Assumptions'!$K$3),'Drop Downs and Assumptions'!$L$3,IF(AND('Event Dataset'!N244&gt;='Drop Downs and Assumptions'!$J$4,'Event Dataset'!N244&lt;='Drop Downs and Assumptions'!$K$4),'Drop Downs and Assumptions'!$L$4,IF('Event Dataset'!N244&gt;='Drop Downs and Assumptions'!$J$5,'Drop Downs and Assumptions'!$L$5,"")))))</f>
        <v/>
      </c>
      <c r="P244" s="109"/>
      <c r="Q244" s="97"/>
      <c r="R244" s="110"/>
      <c r="S244" s="111"/>
      <c r="T244" s="111"/>
      <c r="U244" s="111"/>
      <c r="V244" s="111"/>
      <c r="W244" s="111"/>
      <c r="X244" s="111"/>
      <c r="Y244" s="111"/>
      <c r="Z244" s="111"/>
      <c r="AA244" s="111"/>
      <c r="AB244" s="111"/>
      <c r="AC244" s="112"/>
      <c r="AD244" s="113" t="str">
        <f t="shared" si="36"/>
        <v/>
      </c>
      <c r="AE244" s="114" t="str">
        <f t="shared" si="37"/>
        <v/>
      </c>
      <c r="AF244" s="115" t="str">
        <f t="shared" si="38"/>
        <v/>
      </c>
      <c r="AG244" s="116" t="str">
        <f t="shared" si="32"/>
        <v/>
      </c>
    </row>
    <row r="245" spans="1:33" x14ac:dyDescent="0.25">
      <c r="A245" s="16">
        <f t="shared" si="33"/>
        <v>242</v>
      </c>
      <c r="B245" s="31" t="str">
        <f t="shared" si="34"/>
        <v/>
      </c>
      <c r="C245" s="66" t="str">
        <f t="shared" si="35"/>
        <v/>
      </c>
      <c r="D245" s="92"/>
      <c r="E245" s="93"/>
      <c r="F245" s="93"/>
      <c r="G245" s="93"/>
      <c r="H245" s="94"/>
      <c r="I245" s="93"/>
      <c r="J245" s="93"/>
      <c r="K245" s="93"/>
      <c r="L245" s="93"/>
      <c r="M245" s="93"/>
      <c r="N245" s="95"/>
      <c r="O245" s="95" t="str">
        <f>IF(N245="","",IF('Event Dataset'!N245&lt;='Drop Downs and Assumptions'!$K$2,'Drop Downs and Assumptions'!$L$2,IF(AND('Event Dataset'!N245&gt;='Drop Downs and Assumptions'!$J$3,'Event Dataset'!N245&lt;='Drop Downs and Assumptions'!$K$3),'Drop Downs and Assumptions'!$L$3,IF(AND('Event Dataset'!N245&gt;='Drop Downs and Assumptions'!$J$4,'Event Dataset'!N245&lt;='Drop Downs and Assumptions'!$K$4),'Drop Downs and Assumptions'!$L$4,IF('Event Dataset'!N245&gt;='Drop Downs and Assumptions'!$J$5,'Drop Downs and Assumptions'!$L$5,"")))))</f>
        <v/>
      </c>
      <c r="P245" s="96"/>
      <c r="Q245" s="97"/>
      <c r="R245" s="98"/>
      <c r="S245" s="99"/>
      <c r="T245" s="99"/>
      <c r="U245" s="99"/>
      <c r="V245" s="99"/>
      <c r="W245" s="99"/>
      <c r="X245" s="99"/>
      <c r="Y245" s="99"/>
      <c r="Z245" s="99"/>
      <c r="AA245" s="99"/>
      <c r="AB245" s="99"/>
      <c r="AC245" s="100"/>
      <c r="AD245" s="101" t="str">
        <f t="shared" si="36"/>
        <v/>
      </c>
      <c r="AE245" s="102" t="str">
        <f t="shared" si="37"/>
        <v/>
      </c>
      <c r="AF245" s="103" t="str">
        <f t="shared" si="38"/>
        <v/>
      </c>
      <c r="AG245" s="104" t="str">
        <f t="shared" si="32"/>
        <v/>
      </c>
    </row>
    <row r="246" spans="1:33" x14ac:dyDescent="0.25">
      <c r="A246" s="4">
        <f t="shared" si="33"/>
        <v>243</v>
      </c>
      <c r="B246" s="30" t="str">
        <f t="shared" si="34"/>
        <v/>
      </c>
      <c r="C246" s="67" t="str">
        <f t="shared" si="35"/>
        <v/>
      </c>
      <c r="D246" s="105"/>
      <c r="E246" s="106"/>
      <c r="F246" s="106"/>
      <c r="G246" s="106"/>
      <c r="H246" s="107"/>
      <c r="I246" s="106"/>
      <c r="J246" s="106"/>
      <c r="K246" s="106"/>
      <c r="L246" s="106"/>
      <c r="M246" s="106"/>
      <c r="N246" s="108"/>
      <c r="O246" s="108" t="str">
        <f>IF(N246="","",IF('Event Dataset'!N246&lt;='Drop Downs and Assumptions'!$K$2,'Drop Downs and Assumptions'!$L$2,IF(AND('Event Dataset'!N246&gt;='Drop Downs and Assumptions'!$J$3,'Event Dataset'!N246&lt;='Drop Downs and Assumptions'!$K$3),'Drop Downs and Assumptions'!$L$3,IF(AND('Event Dataset'!N246&gt;='Drop Downs and Assumptions'!$J$4,'Event Dataset'!N246&lt;='Drop Downs and Assumptions'!$K$4),'Drop Downs and Assumptions'!$L$4,IF('Event Dataset'!N246&gt;='Drop Downs and Assumptions'!$J$5,'Drop Downs and Assumptions'!$L$5,"")))))</f>
        <v/>
      </c>
      <c r="P246" s="109"/>
      <c r="Q246" s="97"/>
      <c r="R246" s="110"/>
      <c r="S246" s="111"/>
      <c r="T246" s="111"/>
      <c r="U246" s="111"/>
      <c r="V246" s="111"/>
      <c r="W246" s="111"/>
      <c r="X246" s="111"/>
      <c r="Y246" s="111"/>
      <c r="Z246" s="111"/>
      <c r="AA246" s="111"/>
      <c r="AB246" s="111"/>
      <c r="AC246" s="112"/>
      <c r="AD246" s="113" t="str">
        <f t="shared" si="36"/>
        <v/>
      </c>
      <c r="AE246" s="114" t="str">
        <f t="shared" si="37"/>
        <v/>
      </c>
      <c r="AF246" s="115" t="str">
        <f t="shared" si="38"/>
        <v/>
      </c>
      <c r="AG246" s="116" t="str">
        <f t="shared" si="32"/>
        <v/>
      </c>
    </row>
    <row r="247" spans="1:33" x14ac:dyDescent="0.25">
      <c r="A247" s="16">
        <f t="shared" si="33"/>
        <v>244</v>
      </c>
      <c r="B247" s="31" t="str">
        <f t="shared" si="34"/>
        <v/>
      </c>
      <c r="C247" s="66" t="str">
        <f t="shared" si="35"/>
        <v/>
      </c>
      <c r="D247" s="92"/>
      <c r="E247" s="93"/>
      <c r="F247" s="93"/>
      <c r="G247" s="93"/>
      <c r="H247" s="94"/>
      <c r="I247" s="93"/>
      <c r="J247" s="93"/>
      <c r="K247" s="93"/>
      <c r="L247" s="93"/>
      <c r="M247" s="93"/>
      <c r="N247" s="95"/>
      <c r="O247" s="95" t="str">
        <f>IF(N247="","",IF('Event Dataset'!N247&lt;='Drop Downs and Assumptions'!$K$2,'Drop Downs and Assumptions'!$L$2,IF(AND('Event Dataset'!N247&gt;='Drop Downs and Assumptions'!$J$3,'Event Dataset'!N247&lt;='Drop Downs and Assumptions'!$K$3),'Drop Downs and Assumptions'!$L$3,IF(AND('Event Dataset'!N247&gt;='Drop Downs and Assumptions'!$J$4,'Event Dataset'!N247&lt;='Drop Downs and Assumptions'!$K$4),'Drop Downs and Assumptions'!$L$4,IF('Event Dataset'!N247&gt;='Drop Downs and Assumptions'!$J$5,'Drop Downs and Assumptions'!$L$5,"")))))</f>
        <v/>
      </c>
      <c r="P247" s="96"/>
      <c r="Q247" s="97"/>
      <c r="R247" s="98"/>
      <c r="S247" s="99"/>
      <c r="T247" s="99"/>
      <c r="U247" s="99"/>
      <c r="V247" s="99"/>
      <c r="W247" s="99"/>
      <c r="X247" s="99"/>
      <c r="Y247" s="99"/>
      <c r="Z247" s="99"/>
      <c r="AA247" s="99"/>
      <c r="AB247" s="99"/>
      <c r="AC247" s="100"/>
      <c r="AD247" s="101" t="str">
        <f t="shared" si="36"/>
        <v/>
      </c>
      <c r="AE247" s="102" t="str">
        <f t="shared" si="37"/>
        <v/>
      </c>
      <c r="AF247" s="103" t="str">
        <f t="shared" si="38"/>
        <v/>
      </c>
      <c r="AG247" s="104" t="str">
        <f t="shared" si="32"/>
        <v/>
      </c>
    </row>
    <row r="248" spans="1:33" x14ac:dyDescent="0.25">
      <c r="A248" s="4">
        <f t="shared" si="33"/>
        <v>245</v>
      </c>
      <c r="B248" s="30" t="str">
        <f t="shared" si="34"/>
        <v/>
      </c>
      <c r="C248" s="67" t="str">
        <f t="shared" si="35"/>
        <v/>
      </c>
      <c r="D248" s="105"/>
      <c r="E248" s="106"/>
      <c r="F248" s="106"/>
      <c r="G248" s="106"/>
      <c r="H248" s="107"/>
      <c r="I248" s="106"/>
      <c r="J248" s="106"/>
      <c r="K248" s="106"/>
      <c r="L248" s="106"/>
      <c r="M248" s="106"/>
      <c r="N248" s="108"/>
      <c r="O248" s="108" t="str">
        <f>IF(N248="","",IF('Event Dataset'!N248&lt;='Drop Downs and Assumptions'!$K$2,'Drop Downs and Assumptions'!$L$2,IF(AND('Event Dataset'!N248&gt;='Drop Downs and Assumptions'!$J$3,'Event Dataset'!N248&lt;='Drop Downs and Assumptions'!$K$3),'Drop Downs and Assumptions'!$L$3,IF(AND('Event Dataset'!N248&gt;='Drop Downs and Assumptions'!$J$4,'Event Dataset'!N248&lt;='Drop Downs and Assumptions'!$K$4),'Drop Downs and Assumptions'!$L$4,IF('Event Dataset'!N248&gt;='Drop Downs and Assumptions'!$J$5,'Drop Downs and Assumptions'!$L$5,"")))))</f>
        <v/>
      </c>
      <c r="P248" s="109"/>
      <c r="Q248" s="97"/>
      <c r="R248" s="110"/>
      <c r="S248" s="111"/>
      <c r="T248" s="111"/>
      <c r="U248" s="111"/>
      <c r="V248" s="111"/>
      <c r="W248" s="111"/>
      <c r="X248" s="111"/>
      <c r="Y248" s="111"/>
      <c r="Z248" s="111"/>
      <c r="AA248" s="111"/>
      <c r="AB248" s="111"/>
      <c r="AC248" s="112"/>
      <c r="AD248" s="113" t="str">
        <f t="shared" si="36"/>
        <v/>
      </c>
      <c r="AE248" s="114" t="str">
        <f t="shared" si="37"/>
        <v/>
      </c>
      <c r="AF248" s="115" t="str">
        <f t="shared" si="38"/>
        <v/>
      </c>
      <c r="AG248" s="116" t="str">
        <f t="shared" si="32"/>
        <v/>
      </c>
    </row>
    <row r="249" spans="1:33" x14ac:dyDescent="0.25">
      <c r="A249" s="16">
        <f t="shared" si="33"/>
        <v>246</v>
      </c>
      <c r="B249" s="31" t="str">
        <f t="shared" si="34"/>
        <v/>
      </c>
      <c r="C249" s="66" t="str">
        <f t="shared" si="35"/>
        <v/>
      </c>
      <c r="D249" s="92"/>
      <c r="E249" s="93"/>
      <c r="F249" s="93"/>
      <c r="G249" s="93"/>
      <c r="H249" s="94"/>
      <c r="I249" s="93"/>
      <c r="J249" s="93"/>
      <c r="K249" s="93"/>
      <c r="L249" s="93"/>
      <c r="M249" s="93"/>
      <c r="N249" s="95"/>
      <c r="O249" s="95" t="str">
        <f>IF(N249="","",IF('Event Dataset'!N249&lt;='Drop Downs and Assumptions'!$K$2,'Drop Downs and Assumptions'!$L$2,IF(AND('Event Dataset'!N249&gt;='Drop Downs and Assumptions'!$J$3,'Event Dataset'!N249&lt;='Drop Downs and Assumptions'!$K$3),'Drop Downs and Assumptions'!$L$3,IF(AND('Event Dataset'!N249&gt;='Drop Downs and Assumptions'!$J$4,'Event Dataset'!N249&lt;='Drop Downs and Assumptions'!$K$4),'Drop Downs and Assumptions'!$L$4,IF('Event Dataset'!N249&gt;='Drop Downs and Assumptions'!$J$5,'Drop Downs and Assumptions'!$L$5,"")))))</f>
        <v/>
      </c>
      <c r="P249" s="96"/>
      <c r="Q249" s="97"/>
      <c r="R249" s="98"/>
      <c r="S249" s="99"/>
      <c r="T249" s="99"/>
      <c r="U249" s="99"/>
      <c r="V249" s="99"/>
      <c r="W249" s="99"/>
      <c r="X249" s="99"/>
      <c r="Y249" s="99"/>
      <c r="Z249" s="99"/>
      <c r="AA249" s="99"/>
      <c r="AB249" s="99"/>
      <c r="AC249" s="100"/>
      <c r="AD249" s="101" t="str">
        <f t="shared" si="36"/>
        <v/>
      </c>
      <c r="AE249" s="102" t="str">
        <f t="shared" si="37"/>
        <v/>
      </c>
      <c r="AF249" s="103" t="str">
        <f t="shared" si="38"/>
        <v/>
      </c>
      <c r="AG249" s="104" t="str">
        <f t="shared" si="32"/>
        <v/>
      </c>
    </row>
    <row r="250" spans="1:33" x14ac:dyDescent="0.25">
      <c r="A250" s="4">
        <f t="shared" si="33"/>
        <v>247</v>
      </c>
      <c r="B250" s="30" t="str">
        <f t="shared" si="34"/>
        <v/>
      </c>
      <c r="C250" s="67" t="str">
        <f t="shared" si="35"/>
        <v/>
      </c>
      <c r="D250" s="105"/>
      <c r="E250" s="106"/>
      <c r="F250" s="106"/>
      <c r="G250" s="106"/>
      <c r="H250" s="107"/>
      <c r="I250" s="106"/>
      <c r="J250" s="106"/>
      <c r="K250" s="106"/>
      <c r="L250" s="106"/>
      <c r="M250" s="106"/>
      <c r="N250" s="108"/>
      <c r="O250" s="108" t="str">
        <f>IF(N250="","",IF('Event Dataset'!N250&lt;='Drop Downs and Assumptions'!$K$2,'Drop Downs and Assumptions'!$L$2,IF(AND('Event Dataset'!N250&gt;='Drop Downs and Assumptions'!$J$3,'Event Dataset'!N250&lt;='Drop Downs and Assumptions'!$K$3),'Drop Downs and Assumptions'!$L$3,IF(AND('Event Dataset'!N250&gt;='Drop Downs and Assumptions'!$J$4,'Event Dataset'!N250&lt;='Drop Downs and Assumptions'!$K$4),'Drop Downs and Assumptions'!$L$4,IF('Event Dataset'!N250&gt;='Drop Downs and Assumptions'!$J$5,'Drop Downs and Assumptions'!$L$5,"")))))</f>
        <v/>
      </c>
      <c r="P250" s="109"/>
      <c r="Q250" s="97"/>
      <c r="R250" s="110"/>
      <c r="S250" s="111"/>
      <c r="T250" s="111"/>
      <c r="U250" s="111"/>
      <c r="V250" s="111"/>
      <c r="W250" s="111"/>
      <c r="X250" s="111"/>
      <c r="Y250" s="111"/>
      <c r="Z250" s="111"/>
      <c r="AA250" s="111"/>
      <c r="AB250" s="111"/>
      <c r="AC250" s="112"/>
      <c r="AD250" s="113" t="str">
        <f t="shared" si="36"/>
        <v/>
      </c>
      <c r="AE250" s="114" t="str">
        <f t="shared" si="37"/>
        <v/>
      </c>
      <c r="AF250" s="115" t="str">
        <f t="shared" si="38"/>
        <v/>
      </c>
      <c r="AG250" s="116" t="str">
        <f t="shared" si="32"/>
        <v/>
      </c>
    </row>
    <row r="251" spans="1:33" x14ac:dyDescent="0.25">
      <c r="A251" s="16">
        <f t="shared" si="33"/>
        <v>248</v>
      </c>
      <c r="B251" s="31" t="str">
        <f t="shared" si="34"/>
        <v/>
      </c>
      <c r="C251" s="66" t="str">
        <f t="shared" si="35"/>
        <v/>
      </c>
      <c r="D251" s="92"/>
      <c r="E251" s="93"/>
      <c r="F251" s="93"/>
      <c r="G251" s="93"/>
      <c r="H251" s="94"/>
      <c r="I251" s="93"/>
      <c r="J251" s="93"/>
      <c r="K251" s="93"/>
      <c r="L251" s="93"/>
      <c r="M251" s="93"/>
      <c r="N251" s="95"/>
      <c r="O251" s="95" t="str">
        <f>IF(N251="","",IF('Event Dataset'!N251&lt;='Drop Downs and Assumptions'!$K$2,'Drop Downs and Assumptions'!$L$2,IF(AND('Event Dataset'!N251&gt;='Drop Downs and Assumptions'!$J$3,'Event Dataset'!N251&lt;='Drop Downs and Assumptions'!$K$3),'Drop Downs and Assumptions'!$L$3,IF(AND('Event Dataset'!N251&gt;='Drop Downs and Assumptions'!$J$4,'Event Dataset'!N251&lt;='Drop Downs and Assumptions'!$K$4),'Drop Downs and Assumptions'!$L$4,IF('Event Dataset'!N251&gt;='Drop Downs and Assumptions'!$J$5,'Drop Downs and Assumptions'!$L$5,"")))))</f>
        <v/>
      </c>
      <c r="P251" s="96"/>
      <c r="Q251" s="97"/>
      <c r="R251" s="98"/>
      <c r="S251" s="99"/>
      <c r="T251" s="99"/>
      <c r="U251" s="99"/>
      <c r="V251" s="99"/>
      <c r="W251" s="99"/>
      <c r="X251" s="99"/>
      <c r="Y251" s="99"/>
      <c r="Z251" s="99"/>
      <c r="AA251" s="99"/>
      <c r="AB251" s="99"/>
      <c r="AC251" s="100"/>
      <c r="AD251" s="101" t="str">
        <f t="shared" si="36"/>
        <v/>
      </c>
      <c r="AE251" s="102" t="str">
        <f t="shared" si="37"/>
        <v/>
      </c>
      <c r="AF251" s="103" t="str">
        <f t="shared" si="38"/>
        <v/>
      </c>
      <c r="AG251" s="104" t="str">
        <f t="shared" si="32"/>
        <v/>
      </c>
    </row>
    <row r="252" spans="1:33" x14ac:dyDescent="0.25">
      <c r="A252" s="4">
        <f t="shared" si="33"/>
        <v>249</v>
      </c>
      <c r="B252" s="30" t="str">
        <f t="shared" si="34"/>
        <v/>
      </c>
      <c r="C252" s="67" t="str">
        <f t="shared" si="35"/>
        <v/>
      </c>
      <c r="D252" s="105"/>
      <c r="E252" s="106"/>
      <c r="F252" s="106"/>
      <c r="G252" s="106"/>
      <c r="H252" s="107"/>
      <c r="I252" s="106"/>
      <c r="J252" s="106"/>
      <c r="K252" s="106"/>
      <c r="L252" s="106"/>
      <c r="M252" s="106"/>
      <c r="N252" s="108"/>
      <c r="O252" s="108" t="str">
        <f>IF(N252="","",IF('Event Dataset'!N252&lt;='Drop Downs and Assumptions'!$K$2,'Drop Downs and Assumptions'!$L$2,IF(AND('Event Dataset'!N252&gt;='Drop Downs and Assumptions'!$J$3,'Event Dataset'!N252&lt;='Drop Downs and Assumptions'!$K$3),'Drop Downs and Assumptions'!$L$3,IF(AND('Event Dataset'!N252&gt;='Drop Downs and Assumptions'!$J$4,'Event Dataset'!N252&lt;='Drop Downs and Assumptions'!$K$4),'Drop Downs and Assumptions'!$L$4,IF('Event Dataset'!N252&gt;='Drop Downs and Assumptions'!$J$5,'Drop Downs and Assumptions'!$L$5,"")))))</f>
        <v/>
      </c>
      <c r="P252" s="109"/>
      <c r="Q252" s="97"/>
      <c r="R252" s="110"/>
      <c r="S252" s="111"/>
      <c r="T252" s="111"/>
      <c r="U252" s="111"/>
      <c r="V252" s="111"/>
      <c r="W252" s="111"/>
      <c r="X252" s="111"/>
      <c r="Y252" s="111"/>
      <c r="Z252" s="111"/>
      <c r="AA252" s="111"/>
      <c r="AB252" s="111"/>
      <c r="AC252" s="112"/>
      <c r="AD252" s="113" t="str">
        <f t="shared" si="36"/>
        <v/>
      </c>
      <c r="AE252" s="114" t="str">
        <f t="shared" si="37"/>
        <v/>
      </c>
      <c r="AF252" s="115" t="str">
        <f t="shared" si="38"/>
        <v/>
      </c>
      <c r="AG252" s="116" t="str">
        <f t="shared" si="32"/>
        <v/>
      </c>
    </row>
    <row r="253" spans="1:33" x14ac:dyDescent="0.25">
      <c r="A253" s="16">
        <f t="shared" si="33"/>
        <v>250</v>
      </c>
      <c r="B253" s="31" t="str">
        <f t="shared" si="34"/>
        <v/>
      </c>
      <c r="C253" s="66" t="str">
        <f t="shared" si="35"/>
        <v/>
      </c>
      <c r="D253" s="92"/>
      <c r="E253" s="93"/>
      <c r="F253" s="93"/>
      <c r="G253" s="93"/>
      <c r="H253" s="94"/>
      <c r="I253" s="93"/>
      <c r="J253" s="93"/>
      <c r="K253" s="93"/>
      <c r="L253" s="93"/>
      <c r="M253" s="93"/>
      <c r="N253" s="95"/>
      <c r="O253" s="95" t="str">
        <f>IF(N253="","",IF('Event Dataset'!N253&lt;='Drop Downs and Assumptions'!$K$2,'Drop Downs and Assumptions'!$L$2,IF(AND('Event Dataset'!N253&gt;='Drop Downs and Assumptions'!$J$3,'Event Dataset'!N253&lt;='Drop Downs and Assumptions'!$K$3),'Drop Downs and Assumptions'!$L$3,IF(AND('Event Dataset'!N253&gt;='Drop Downs and Assumptions'!$J$4,'Event Dataset'!N253&lt;='Drop Downs and Assumptions'!$K$4),'Drop Downs and Assumptions'!$L$4,IF('Event Dataset'!N253&gt;='Drop Downs and Assumptions'!$J$5,'Drop Downs and Assumptions'!$L$5,"")))))</f>
        <v/>
      </c>
      <c r="P253" s="96"/>
      <c r="Q253" s="97"/>
      <c r="R253" s="98"/>
      <c r="S253" s="99"/>
      <c r="T253" s="99"/>
      <c r="U253" s="99"/>
      <c r="V253" s="99"/>
      <c r="W253" s="99"/>
      <c r="X253" s="99"/>
      <c r="Y253" s="99"/>
      <c r="Z253" s="99"/>
      <c r="AA253" s="99"/>
      <c r="AB253" s="99"/>
      <c r="AC253" s="100"/>
      <c r="AD253" s="101" t="str">
        <f t="shared" si="36"/>
        <v/>
      </c>
      <c r="AE253" s="102" t="str">
        <f t="shared" si="37"/>
        <v/>
      </c>
      <c r="AF253" s="103" t="str">
        <f t="shared" si="38"/>
        <v/>
      </c>
      <c r="AG253" s="104" t="str">
        <f t="shared" si="32"/>
        <v/>
      </c>
    </row>
    <row r="254" spans="1:33" x14ac:dyDescent="0.25">
      <c r="A254" s="4">
        <f t="shared" si="33"/>
        <v>251</v>
      </c>
      <c r="B254" s="30" t="str">
        <f t="shared" si="34"/>
        <v/>
      </c>
      <c r="C254" s="67" t="str">
        <f t="shared" si="35"/>
        <v/>
      </c>
      <c r="D254" s="105"/>
      <c r="E254" s="106"/>
      <c r="F254" s="106"/>
      <c r="G254" s="106"/>
      <c r="H254" s="107"/>
      <c r="I254" s="106"/>
      <c r="J254" s="106"/>
      <c r="K254" s="106"/>
      <c r="L254" s="106"/>
      <c r="M254" s="106"/>
      <c r="N254" s="108"/>
      <c r="O254" s="108" t="str">
        <f>IF(N254="","",IF('Event Dataset'!N254&lt;='Drop Downs and Assumptions'!$K$2,'Drop Downs and Assumptions'!$L$2,IF(AND('Event Dataset'!N254&gt;='Drop Downs and Assumptions'!$J$3,'Event Dataset'!N254&lt;='Drop Downs and Assumptions'!$K$3),'Drop Downs and Assumptions'!$L$3,IF(AND('Event Dataset'!N254&gt;='Drop Downs and Assumptions'!$J$4,'Event Dataset'!N254&lt;='Drop Downs and Assumptions'!$K$4),'Drop Downs and Assumptions'!$L$4,IF('Event Dataset'!N254&gt;='Drop Downs and Assumptions'!$J$5,'Drop Downs and Assumptions'!$L$5,"")))))</f>
        <v/>
      </c>
      <c r="P254" s="109"/>
      <c r="Q254" s="97"/>
      <c r="R254" s="110"/>
      <c r="S254" s="111"/>
      <c r="T254" s="111"/>
      <c r="U254" s="111"/>
      <c r="V254" s="111"/>
      <c r="W254" s="111"/>
      <c r="X254" s="111"/>
      <c r="Y254" s="111"/>
      <c r="Z254" s="111"/>
      <c r="AA254" s="111"/>
      <c r="AB254" s="111"/>
      <c r="AC254" s="112"/>
      <c r="AD254" s="113" t="str">
        <f t="shared" si="36"/>
        <v/>
      </c>
      <c r="AE254" s="114" t="str">
        <f t="shared" si="37"/>
        <v/>
      </c>
      <c r="AF254" s="115" t="str">
        <f t="shared" si="38"/>
        <v/>
      </c>
      <c r="AG254" s="116" t="str">
        <f t="shared" si="32"/>
        <v/>
      </c>
    </row>
    <row r="255" spans="1:33" x14ac:dyDescent="0.25">
      <c r="A255" s="16">
        <f t="shared" si="33"/>
        <v>252</v>
      </c>
      <c r="B255" s="31" t="str">
        <f t="shared" si="34"/>
        <v/>
      </c>
      <c r="C255" s="66" t="str">
        <f t="shared" si="35"/>
        <v/>
      </c>
      <c r="D255" s="92"/>
      <c r="E255" s="93"/>
      <c r="F255" s="93"/>
      <c r="G255" s="93"/>
      <c r="H255" s="94"/>
      <c r="I255" s="93"/>
      <c r="J255" s="93"/>
      <c r="K255" s="93"/>
      <c r="L255" s="93"/>
      <c r="M255" s="93"/>
      <c r="N255" s="95"/>
      <c r="O255" s="95" t="str">
        <f>IF(N255="","",IF('Event Dataset'!N255&lt;='Drop Downs and Assumptions'!$K$2,'Drop Downs and Assumptions'!$L$2,IF(AND('Event Dataset'!N255&gt;='Drop Downs and Assumptions'!$J$3,'Event Dataset'!N255&lt;='Drop Downs and Assumptions'!$K$3),'Drop Downs and Assumptions'!$L$3,IF(AND('Event Dataset'!N255&gt;='Drop Downs and Assumptions'!$J$4,'Event Dataset'!N255&lt;='Drop Downs and Assumptions'!$K$4),'Drop Downs and Assumptions'!$L$4,IF('Event Dataset'!N255&gt;='Drop Downs and Assumptions'!$J$5,'Drop Downs and Assumptions'!$L$5,"")))))</f>
        <v/>
      </c>
      <c r="P255" s="96"/>
      <c r="Q255" s="97"/>
      <c r="R255" s="98"/>
      <c r="S255" s="99"/>
      <c r="T255" s="99"/>
      <c r="U255" s="99"/>
      <c r="V255" s="99"/>
      <c r="W255" s="99"/>
      <c r="X255" s="99"/>
      <c r="Y255" s="99"/>
      <c r="Z255" s="99"/>
      <c r="AA255" s="99"/>
      <c r="AB255" s="99"/>
      <c r="AC255" s="100"/>
      <c r="AD255" s="101" t="str">
        <f t="shared" si="36"/>
        <v/>
      </c>
      <c r="AE255" s="102" t="str">
        <f t="shared" si="37"/>
        <v/>
      </c>
      <c r="AF255" s="103" t="str">
        <f t="shared" si="38"/>
        <v/>
      </c>
      <c r="AG255" s="104" t="str">
        <f t="shared" si="32"/>
        <v/>
      </c>
    </row>
    <row r="256" spans="1:33" x14ac:dyDescent="0.25">
      <c r="A256" s="4">
        <f t="shared" si="33"/>
        <v>253</v>
      </c>
      <c r="B256" s="30" t="str">
        <f t="shared" si="34"/>
        <v/>
      </c>
      <c r="C256" s="67" t="str">
        <f t="shared" si="35"/>
        <v/>
      </c>
      <c r="D256" s="105"/>
      <c r="E256" s="106"/>
      <c r="F256" s="106"/>
      <c r="G256" s="106"/>
      <c r="H256" s="107"/>
      <c r="I256" s="106"/>
      <c r="J256" s="106"/>
      <c r="K256" s="106"/>
      <c r="L256" s="106"/>
      <c r="M256" s="106"/>
      <c r="N256" s="108"/>
      <c r="O256" s="108" t="str">
        <f>IF(N256="","",IF('Event Dataset'!N256&lt;='Drop Downs and Assumptions'!$K$2,'Drop Downs and Assumptions'!$L$2,IF(AND('Event Dataset'!N256&gt;='Drop Downs and Assumptions'!$J$3,'Event Dataset'!N256&lt;='Drop Downs and Assumptions'!$K$3),'Drop Downs and Assumptions'!$L$3,IF(AND('Event Dataset'!N256&gt;='Drop Downs and Assumptions'!$J$4,'Event Dataset'!N256&lt;='Drop Downs and Assumptions'!$K$4),'Drop Downs and Assumptions'!$L$4,IF('Event Dataset'!N256&gt;='Drop Downs and Assumptions'!$J$5,'Drop Downs and Assumptions'!$L$5,"")))))</f>
        <v/>
      </c>
      <c r="P256" s="109"/>
      <c r="Q256" s="97"/>
      <c r="R256" s="110"/>
      <c r="S256" s="111"/>
      <c r="T256" s="111"/>
      <c r="U256" s="111"/>
      <c r="V256" s="111"/>
      <c r="W256" s="111"/>
      <c r="X256" s="111"/>
      <c r="Y256" s="111"/>
      <c r="Z256" s="111"/>
      <c r="AA256" s="111"/>
      <c r="AB256" s="111"/>
      <c r="AC256" s="112"/>
      <c r="AD256" s="113" t="str">
        <f t="shared" si="36"/>
        <v/>
      </c>
      <c r="AE256" s="114" t="str">
        <f t="shared" si="37"/>
        <v/>
      </c>
      <c r="AF256" s="115" t="str">
        <f t="shared" si="38"/>
        <v/>
      </c>
      <c r="AG256" s="116" t="str">
        <f t="shared" si="32"/>
        <v/>
      </c>
    </row>
    <row r="257" spans="1:33" x14ac:dyDescent="0.25">
      <c r="A257" s="16">
        <f t="shared" si="33"/>
        <v>254</v>
      </c>
      <c r="B257" s="31" t="str">
        <f t="shared" si="34"/>
        <v/>
      </c>
      <c r="C257" s="66" t="str">
        <f t="shared" si="35"/>
        <v/>
      </c>
      <c r="D257" s="92"/>
      <c r="E257" s="93"/>
      <c r="F257" s="93"/>
      <c r="G257" s="93"/>
      <c r="H257" s="94"/>
      <c r="I257" s="93"/>
      <c r="J257" s="93"/>
      <c r="K257" s="93"/>
      <c r="L257" s="93"/>
      <c r="M257" s="93"/>
      <c r="N257" s="95"/>
      <c r="O257" s="95" t="str">
        <f>IF(N257="","",IF('Event Dataset'!N257&lt;='Drop Downs and Assumptions'!$K$2,'Drop Downs and Assumptions'!$L$2,IF(AND('Event Dataset'!N257&gt;='Drop Downs and Assumptions'!$J$3,'Event Dataset'!N257&lt;='Drop Downs and Assumptions'!$K$3),'Drop Downs and Assumptions'!$L$3,IF(AND('Event Dataset'!N257&gt;='Drop Downs and Assumptions'!$J$4,'Event Dataset'!N257&lt;='Drop Downs and Assumptions'!$K$4),'Drop Downs and Assumptions'!$L$4,IF('Event Dataset'!N257&gt;='Drop Downs and Assumptions'!$J$5,'Drop Downs and Assumptions'!$L$5,"")))))</f>
        <v/>
      </c>
      <c r="P257" s="96"/>
      <c r="Q257" s="97"/>
      <c r="R257" s="98"/>
      <c r="S257" s="99"/>
      <c r="T257" s="99"/>
      <c r="U257" s="99"/>
      <c r="V257" s="99"/>
      <c r="W257" s="99"/>
      <c r="X257" s="99"/>
      <c r="Y257" s="99"/>
      <c r="Z257" s="99"/>
      <c r="AA257" s="99"/>
      <c r="AB257" s="99"/>
      <c r="AC257" s="100"/>
      <c r="AD257" s="101" t="str">
        <f t="shared" si="36"/>
        <v/>
      </c>
      <c r="AE257" s="102" t="str">
        <f t="shared" si="37"/>
        <v/>
      </c>
      <c r="AF257" s="103" t="str">
        <f t="shared" si="38"/>
        <v/>
      </c>
      <c r="AG257" s="104" t="str">
        <f t="shared" si="32"/>
        <v/>
      </c>
    </row>
    <row r="258" spans="1:33" x14ac:dyDescent="0.25">
      <c r="A258" s="4">
        <f t="shared" si="33"/>
        <v>255</v>
      </c>
      <c r="B258" s="30" t="str">
        <f t="shared" si="34"/>
        <v/>
      </c>
      <c r="C258" s="67" t="str">
        <f t="shared" si="35"/>
        <v/>
      </c>
      <c r="D258" s="105"/>
      <c r="E258" s="106"/>
      <c r="F258" s="106"/>
      <c r="G258" s="106"/>
      <c r="H258" s="107"/>
      <c r="I258" s="106"/>
      <c r="J258" s="106"/>
      <c r="K258" s="106"/>
      <c r="L258" s="106"/>
      <c r="M258" s="106"/>
      <c r="N258" s="108"/>
      <c r="O258" s="108" t="str">
        <f>IF(N258="","",IF('Event Dataset'!N258&lt;='Drop Downs and Assumptions'!$K$2,'Drop Downs and Assumptions'!$L$2,IF(AND('Event Dataset'!N258&gt;='Drop Downs and Assumptions'!$J$3,'Event Dataset'!N258&lt;='Drop Downs and Assumptions'!$K$3),'Drop Downs and Assumptions'!$L$3,IF(AND('Event Dataset'!N258&gt;='Drop Downs and Assumptions'!$J$4,'Event Dataset'!N258&lt;='Drop Downs and Assumptions'!$K$4),'Drop Downs and Assumptions'!$L$4,IF('Event Dataset'!N258&gt;='Drop Downs and Assumptions'!$J$5,'Drop Downs and Assumptions'!$L$5,"")))))</f>
        <v/>
      </c>
      <c r="P258" s="109"/>
      <c r="Q258" s="97"/>
      <c r="R258" s="110"/>
      <c r="S258" s="111"/>
      <c r="T258" s="111"/>
      <c r="U258" s="111"/>
      <c r="V258" s="111"/>
      <c r="W258" s="111"/>
      <c r="X258" s="111"/>
      <c r="Y258" s="111"/>
      <c r="Z258" s="111"/>
      <c r="AA258" s="111"/>
      <c r="AB258" s="111"/>
      <c r="AC258" s="112"/>
      <c r="AD258" s="113" t="str">
        <f t="shared" si="36"/>
        <v/>
      </c>
      <c r="AE258" s="114" t="str">
        <f t="shared" si="37"/>
        <v/>
      </c>
      <c r="AF258" s="115" t="str">
        <f t="shared" si="38"/>
        <v/>
      </c>
      <c r="AG258" s="116" t="str">
        <f t="shared" si="32"/>
        <v/>
      </c>
    </row>
    <row r="259" spans="1:33" x14ac:dyDescent="0.25">
      <c r="A259" s="16">
        <f t="shared" si="33"/>
        <v>256</v>
      </c>
      <c r="B259" s="31" t="str">
        <f t="shared" si="34"/>
        <v/>
      </c>
      <c r="C259" s="66" t="str">
        <f t="shared" si="35"/>
        <v/>
      </c>
      <c r="D259" s="92"/>
      <c r="E259" s="93"/>
      <c r="F259" s="93"/>
      <c r="G259" s="93"/>
      <c r="H259" s="94"/>
      <c r="I259" s="93"/>
      <c r="J259" s="93"/>
      <c r="K259" s="93"/>
      <c r="L259" s="93"/>
      <c r="M259" s="93"/>
      <c r="N259" s="95"/>
      <c r="O259" s="95" t="str">
        <f>IF(N259="","",IF('Event Dataset'!N259&lt;='Drop Downs and Assumptions'!$K$2,'Drop Downs and Assumptions'!$L$2,IF(AND('Event Dataset'!N259&gt;='Drop Downs and Assumptions'!$J$3,'Event Dataset'!N259&lt;='Drop Downs and Assumptions'!$K$3),'Drop Downs and Assumptions'!$L$3,IF(AND('Event Dataset'!N259&gt;='Drop Downs and Assumptions'!$J$4,'Event Dataset'!N259&lt;='Drop Downs and Assumptions'!$K$4),'Drop Downs and Assumptions'!$L$4,IF('Event Dataset'!N259&gt;='Drop Downs and Assumptions'!$J$5,'Drop Downs and Assumptions'!$L$5,"")))))</f>
        <v/>
      </c>
      <c r="P259" s="96"/>
      <c r="Q259" s="97"/>
      <c r="R259" s="98"/>
      <c r="S259" s="99"/>
      <c r="T259" s="99"/>
      <c r="U259" s="99"/>
      <c r="V259" s="99"/>
      <c r="W259" s="99"/>
      <c r="X259" s="99"/>
      <c r="Y259" s="99"/>
      <c r="Z259" s="99"/>
      <c r="AA259" s="99"/>
      <c r="AB259" s="99"/>
      <c r="AC259" s="100"/>
      <c r="AD259" s="101" t="str">
        <f t="shared" si="36"/>
        <v/>
      </c>
      <c r="AE259" s="102" t="str">
        <f t="shared" si="37"/>
        <v/>
      </c>
      <c r="AF259" s="103" t="str">
        <f t="shared" si="38"/>
        <v/>
      </c>
      <c r="AG259" s="104" t="str">
        <f t="shared" si="32"/>
        <v/>
      </c>
    </row>
    <row r="260" spans="1:33" x14ac:dyDescent="0.25">
      <c r="A260" s="4">
        <f t="shared" si="33"/>
        <v>257</v>
      </c>
      <c r="B260" s="30" t="str">
        <f t="shared" si="34"/>
        <v/>
      </c>
      <c r="C260" s="67" t="str">
        <f t="shared" si="35"/>
        <v/>
      </c>
      <c r="D260" s="105"/>
      <c r="E260" s="106"/>
      <c r="F260" s="106"/>
      <c r="G260" s="106"/>
      <c r="H260" s="107"/>
      <c r="I260" s="106"/>
      <c r="J260" s="106"/>
      <c r="K260" s="106"/>
      <c r="L260" s="106"/>
      <c r="M260" s="106"/>
      <c r="N260" s="108"/>
      <c r="O260" s="108" t="str">
        <f>IF(N260="","",IF('Event Dataset'!N260&lt;='Drop Downs and Assumptions'!$K$2,'Drop Downs and Assumptions'!$L$2,IF(AND('Event Dataset'!N260&gt;='Drop Downs and Assumptions'!$J$3,'Event Dataset'!N260&lt;='Drop Downs and Assumptions'!$K$3),'Drop Downs and Assumptions'!$L$3,IF(AND('Event Dataset'!N260&gt;='Drop Downs and Assumptions'!$J$4,'Event Dataset'!N260&lt;='Drop Downs and Assumptions'!$K$4),'Drop Downs and Assumptions'!$L$4,IF('Event Dataset'!N260&gt;='Drop Downs and Assumptions'!$J$5,'Drop Downs and Assumptions'!$L$5,"")))))</f>
        <v/>
      </c>
      <c r="P260" s="109"/>
      <c r="Q260" s="97"/>
      <c r="R260" s="110"/>
      <c r="S260" s="111"/>
      <c r="T260" s="111"/>
      <c r="U260" s="111"/>
      <c r="V260" s="111"/>
      <c r="W260" s="111"/>
      <c r="X260" s="111"/>
      <c r="Y260" s="111"/>
      <c r="Z260" s="111"/>
      <c r="AA260" s="111"/>
      <c r="AB260" s="111"/>
      <c r="AC260" s="112"/>
      <c r="AD260" s="113" t="str">
        <f t="shared" si="36"/>
        <v/>
      </c>
      <c r="AE260" s="114" t="str">
        <f t="shared" si="37"/>
        <v/>
      </c>
      <c r="AF260" s="115" t="str">
        <f t="shared" si="38"/>
        <v/>
      </c>
      <c r="AG260" s="116" t="str">
        <f t="shared" ref="AG260:AG323" si="39">IFERROR((AD260-AC260)*1000/P260/N260,"")</f>
        <v/>
      </c>
    </row>
    <row r="261" spans="1:33" x14ac:dyDescent="0.25">
      <c r="A261" s="16">
        <f t="shared" ref="A261:A324" si="40">A260+1</f>
        <v>258</v>
      </c>
      <c r="B261" s="31" t="str">
        <f t="shared" ref="B261:B324" si="41">IFERROR(RANK(AF261,$AF$4:$AF$470,0),"")</f>
        <v/>
      </c>
      <c r="C261" s="66" t="str">
        <f t="shared" si="35"/>
        <v/>
      </c>
      <c r="D261" s="92"/>
      <c r="E261" s="93"/>
      <c r="F261" s="93"/>
      <c r="G261" s="93"/>
      <c r="H261" s="94"/>
      <c r="I261" s="93"/>
      <c r="J261" s="93"/>
      <c r="K261" s="93"/>
      <c r="L261" s="93"/>
      <c r="M261" s="93"/>
      <c r="N261" s="95"/>
      <c r="O261" s="95" t="str">
        <f>IF(N261="","",IF('Event Dataset'!N261&lt;='Drop Downs and Assumptions'!$K$2,'Drop Downs and Assumptions'!$L$2,IF(AND('Event Dataset'!N261&gt;='Drop Downs and Assumptions'!$J$3,'Event Dataset'!N261&lt;='Drop Downs and Assumptions'!$K$3),'Drop Downs and Assumptions'!$L$3,IF(AND('Event Dataset'!N261&gt;='Drop Downs and Assumptions'!$J$4,'Event Dataset'!N261&lt;='Drop Downs and Assumptions'!$K$4),'Drop Downs and Assumptions'!$L$4,IF('Event Dataset'!N261&gt;='Drop Downs and Assumptions'!$J$5,'Drop Downs and Assumptions'!$L$5,"")))))</f>
        <v/>
      </c>
      <c r="P261" s="96"/>
      <c r="Q261" s="97"/>
      <c r="R261" s="98"/>
      <c r="S261" s="99"/>
      <c r="T261" s="99"/>
      <c r="U261" s="99"/>
      <c r="V261" s="99"/>
      <c r="W261" s="99"/>
      <c r="X261" s="99"/>
      <c r="Y261" s="99"/>
      <c r="Z261" s="99"/>
      <c r="AA261" s="99"/>
      <c r="AB261" s="99"/>
      <c r="AC261" s="100"/>
      <c r="AD261" s="101" t="str">
        <f t="shared" si="36"/>
        <v/>
      </c>
      <c r="AE261" s="102" t="str">
        <f t="shared" si="37"/>
        <v/>
      </c>
      <c r="AF261" s="103" t="str">
        <f t="shared" si="38"/>
        <v/>
      </c>
      <c r="AG261" s="104" t="str">
        <f t="shared" si="39"/>
        <v/>
      </c>
    </row>
    <row r="262" spans="1:33" x14ac:dyDescent="0.25">
      <c r="A262" s="4">
        <f t="shared" si="40"/>
        <v>259</v>
      </c>
      <c r="B262" s="30" t="str">
        <f t="shared" si="41"/>
        <v/>
      </c>
      <c r="C262" s="67" t="str">
        <f t="shared" si="35"/>
        <v/>
      </c>
      <c r="D262" s="105"/>
      <c r="E262" s="106"/>
      <c r="F262" s="106"/>
      <c r="G262" s="106"/>
      <c r="H262" s="107"/>
      <c r="I262" s="106"/>
      <c r="J262" s="106"/>
      <c r="K262" s="106"/>
      <c r="L262" s="106"/>
      <c r="M262" s="106"/>
      <c r="N262" s="108"/>
      <c r="O262" s="108" t="str">
        <f>IF(N262="","",IF('Event Dataset'!N262&lt;='Drop Downs and Assumptions'!$K$2,'Drop Downs and Assumptions'!$L$2,IF(AND('Event Dataset'!N262&gt;='Drop Downs and Assumptions'!$J$3,'Event Dataset'!N262&lt;='Drop Downs and Assumptions'!$K$3),'Drop Downs and Assumptions'!$L$3,IF(AND('Event Dataset'!N262&gt;='Drop Downs and Assumptions'!$J$4,'Event Dataset'!N262&lt;='Drop Downs and Assumptions'!$K$4),'Drop Downs and Assumptions'!$L$4,IF('Event Dataset'!N262&gt;='Drop Downs and Assumptions'!$J$5,'Drop Downs and Assumptions'!$L$5,"")))))</f>
        <v/>
      </c>
      <c r="P262" s="109"/>
      <c r="Q262" s="97"/>
      <c r="R262" s="110"/>
      <c r="S262" s="111"/>
      <c r="T262" s="111"/>
      <c r="U262" s="111"/>
      <c r="V262" s="111"/>
      <c r="W262" s="111"/>
      <c r="X262" s="111"/>
      <c r="Y262" s="111"/>
      <c r="Z262" s="111"/>
      <c r="AA262" s="111"/>
      <c r="AB262" s="111"/>
      <c r="AC262" s="112"/>
      <c r="AD262" s="113" t="str">
        <f t="shared" si="36"/>
        <v/>
      </c>
      <c r="AE262" s="114" t="str">
        <f t="shared" si="37"/>
        <v/>
      </c>
      <c r="AF262" s="115" t="str">
        <f t="shared" si="38"/>
        <v/>
      </c>
      <c r="AG262" s="116" t="str">
        <f t="shared" si="39"/>
        <v/>
      </c>
    </row>
    <row r="263" spans="1:33" x14ac:dyDescent="0.25">
      <c r="A263" s="16">
        <f t="shared" si="40"/>
        <v>260</v>
      </c>
      <c r="B263" s="31" t="str">
        <f t="shared" si="41"/>
        <v/>
      </c>
      <c r="C263" s="66" t="str">
        <f t="shared" si="35"/>
        <v/>
      </c>
      <c r="D263" s="92"/>
      <c r="E263" s="93"/>
      <c r="F263" s="93"/>
      <c r="G263" s="93"/>
      <c r="H263" s="94"/>
      <c r="I263" s="93"/>
      <c r="J263" s="93"/>
      <c r="K263" s="93"/>
      <c r="L263" s="93"/>
      <c r="M263" s="93"/>
      <c r="N263" s="95"/>
      <c r="O263" s="95" t="str">
        <f>IF(N263="","",IF('Event Dataset'!N263&lt;='Drop Downs and Assumptions'!$K$2,'Drop Downs and Assumptions'!$L$2,IF(AND('Event Dataset'!N263&gt;='Drop Downs and Assumptions'!$J$3,'Event Dataset'!N263&lt;='Drop Downs and Assumptions'!$K$3),'Drop Downs and Assumptions'!$L$3,IF(AND('Event Dataset'!N263&gt;='Drop Downs and Assumptions'!$J$4,'Event Dataset'!N263&lt;='Drop Downs and Assumptions'!$K$4),'Drop Downs and Assumptions'!$L$4,IF('Event Dataset'!N263&gt;='Drop Downs and Assumptions'!$J$5,'Drop Downs and Assumptions'!$L$5,"")))))</f>
        <v/>
      </c>
      <c r="P263" s="96"/>
      <c r="Q263" s="97"/>
      <c r="R263" s="98"/>
      <c r="S263" s="99"/>
      <c r="T263" s="99"/>
      <c r="U263" s="99"/>
      <c r="V263" s="99"/>
      <c r="W263" s="99"/>
      <c r="X263" s="99"/>
      <c r="Y263" s="99"/>
      <c r="Z263" s="99"/>
      <c r="AA263" s="99"/>
      <c r="AB263" s="99"/>
      <c r="AC263" s="100"/>
      <c r="AD263" s="101" t="str">
        <f t="shared" si="36"/>
        <v/>
      </c>
      <c r="AE263" s="102" t="str">
        <f t="shared" si="37"/>
        <v/>
      </c>
      <c r="AF263" s="103" t="str">
        <f t="shared" si="38"/>
        <v/>
      </c>
      <c r="AG263" s="104" t="str">
        <f t="shared" si="39"/>
        <v/>
      </c>
    </row>
    <row r="264" spans="1:33" x14ac:dyDescent="0.25">
      <c r="A264" s="4">
        <f t="shared" si="40"/>
        <v>261</v>
      </c>
      <c r="B264" s="30" t="str">
        <f t="shared" si="41"/>
        <v/>
      </c>
      <c r="C264" s="67" t="str">
        <f t="shared" si="35"/>
        <v/>
      </c>
      <c r="D264" s="105"/>
      <c r="E264" s="106"/>
      <c r="F264" s="106"/>
      <c r="G264" s="106"/>
      <c r="H264" s="107"/>
      <c r="I264" s="106"/>
      <c r="J264" s="106"/>
      <c r="K264" s="106"/>
      <c r="L264" s="106"/>
      <c r="M264" s="106"/>
      <c r="N264" s="108"/>
      <c r="O264" s="108" t="str">
        <f>IF(N264="","",IF('Event Dataset'!N264&lt;='Drop Downs and Assumptions'!$K$2,'Drop Downs and Assumptions'!$L$2,IF(AND('Event Dataset'!N264&gt;='Drop Downs and Assumptions'!$J$3,'Event Dataset'!N264&lt;='Drop Downs and Assumptions'!$K$3),'Drop Downs and Assumptions'!$L$3,IF(AND('Event Dataset'!N264&gt;='Drop Downs and Assumptions'!$J$4,'Event Dataset'!N264&lt;='Drop Downs and Assumptions'!$K$4),'Drop Downs and Assumptions'!$L$4,IF('Event Dataset'!N264&gt;='Drop Downs and Assumptions'!$J$5,'Drop Downs and Assumptions'!$L$5,"")))))</f>
        <v/>
      </c>
      <c r="P264" s="109"/>
      <c r="Q264" s="97"/>
      <c r="R264" s="110"/>
      <c r="S264" s="111"/>
      <c r="T264" s="111"/>
      <c r="U264" s="111"/>
      <c r="V264" s="111"/>
      <c r="W264" s="111"/>
      <c r="X264" s="111"/>
      <c r="Y264" s="111"/>
      <c r="Z264" s="111"/>
      <c r="AA264" s="111"/>
      <c r="AB264" s="111"/>
      <c r="AC264" s="112"/>
      <c r="AD264" s="113" t="str">
        <f t="shared" si="36"/>
        <v/>
      </c>
      <c r="AE264" s="114" t="str">
        <f t="shared" si="37"/>
        <v/>
      </c>
      <c r="AF264" s="115" t="str">
        <f t="shared" si="38"/>
        <v/>
      </c>
      <c r="AG264" s="116" t="str">
        <f t="shared" si="39"/>
        <v/>
      </c>
    </row>
    <row r="265" spans="1:33" x14ac:dyDescent="0.25">
      <c r="A265" s="16">
        <f t="shared" si="40"/>
        <v>262</v>
      </c>
      <c r="B265" s="31" t="str">
        <f t="shared" si="41"/>
        <v/>
      </c>
      <c r="C265" s="66" t="str">
        <f t="shared" si="35"/>
        <v/>
      </c>
      <c r="D265" s="92"/>
      <c r="E265" s="93"/>
      <c r="F265" s="93"/>
      <c r="G265" s="93"/>
      <c r="H265" s="94"/>
      <c r="I265" s="93"/>
      <c r="J265" s="93"/>
      <c r="K265" s="93"/>
      <c r="L265" s="93"/>
      <c r="M265" s="93"/>
      <c r="N265" s="95"/>
      <c r="O265" s="95" t="str">
        <f>IF(N265="","",IF('Event Dataset'!N265&lt;='Drop Downs and Assumptions'!$K$2,'Drop Downs and Assumptions'!$L$2,IF(AND('Event Dataset'!N265&gt;='Drop Downs and Assumptions'!$J$3,'Event Dataset'!N265&lt;='Drop Downs and Assumptions'!$K$3),'Drop Downs and Assumptions'!$L$3,IF(AND('Event Dataset'!N265&gt;='Drop Downs and Assumptions'!$J$4,'Event Dataset'!N265&lt;='Drop Downs and Assumptions'!$K$4),'Drop Downs and Assumptions'!$L$4,IF('Event Dataset'!N265&gt;='Drop Downs and Assumptions'!$J$5,'Drop Downs and Assumptions'!$L$5,"")))))</f>
        <v/>
      </c>
      <c r="P265" s="96"/>
      <c r="Q265" s="97"/>
      <c r="R265" s="98"/>
      <c r="S265" s="99"/>
      <c r="T265" s="99"/>
      <c r="U265" s="99"/>
      <c r="V265" s="99"/>
      <c r="W265" s="99"/>
      <c r="X265" s="99"/>
      <c r="Y265" s="99"/>
      <c r="Z265" s="99"/>
      <c r="AA265" s="99"/>
      <c r="AB265" s="99"/>
      <c r="AC265" s="100"/>
      <c r="AD265" s="101" t="str">
        <f t="shared" si="36"/>
        <v/>
      </c>
      <c r="AE265" s="102" t="str">
        <f t="shared" si="37"/>
        <v/>
      </c>
      <c r="AF265" s="103" t="str">
        <f t="shared" si="38"/>
        <v/>
      </c>
      <c r="AG265" s="104" t="str">
        <f t="shared" si="39"/>
        <v/>
      </c>
    </row>
    <row r="266" spans="1:33" x14ac:dyDescent="0.25">
      <c r="A266" s="4">
        <f t="shared" si="40"/>
        <v>263</v>
      </c>
      <c r="B266" s="30" t="str">
        <f t="shared" si="41"/>
        <v/>
      </c>
      <c r="C266" s="67" t="str">
        <f t="shared" si="35"/>
        <v/>
      </c>
      <c r="D266" s="105"/>
      <c r="E266" s="106"/>
      <c r="F266" s="106"/>
      <c r="G266" s="106"/>
      <c r="H266" s="107"/>
      <c r="I266" s="106"/>
      <c r="J266" s="106"/>
      <c r="K266" s="106"/>
      <c r="L266" s="106"/>
      <c r="M266" s="106"/>
      <c r="N266" s="108"/>
      <c r="O266" s="108" t="str">
        <f>IF(N266="","",IF('Event Dataset'!N266&lt;='Drop Downs and Assumptions'!$K$2,'Drop Downs and Assumptions'!$L$2,IF(AND('Event Dataset'!N266&gt;='Drop Downs and Assumptions'!$J$3,'Event Dataset'!N266&lt;='Drop Downs and Assumptions'!$K$3),'Drop Downs and Assumptions'!$L$3,IF(AND('Event Dataset'!N266&gt;='Drop Downs and Assumptions'!$J$4,'Event Dataset'!N266&lt;='Drop Downs and Assumptions'!$K$4),'Drop Downs and Assumptions'!$L$4,IF('Event Dataset'!N266&gt;='Drop Downs and Assumptions'!$J$5,'Drop Downs and Assumptions'!$L$5,"")))))</f>
        <v/>
      </c>
      <c r="P266" s="109"/>
      <c r="Q266" s="97"/>
      <c r="R266" s="110"/>
      <c r="S266" s="111"/>
      <c r="T266" s="111"/>
      <c r="U266" s="111"/>
      <c r="V266" s="111"/>
      <c r="W266" s="111"/>
      <c r="X266" s="111"/>
      <c r="Y266" s="111"/>
      <c r="Z266" s="111"/>
      <c r="AA266" s="111"/>
      <c r="AB266" s="111"/>
      <c r="AC266" s="112"/>
      <c r="AD266" s="113" t="str">
        <f t="shared" si="36"/>
        <v/>
      </c>
      <c r="AE266" s="114" t="str">
        <f t="shared" si="37"/>
        <v/>
      </c>
      <c r="AF266" s="115" t="str">
        <f t="shared" si="38"/>
        <v/>
      </c>
      <c r="AG266" s="116" t="str">
        <f t="shared" si="39"/>
        <v/>
      </c>
    </row>
    <row r="267" spans="1:33" x14ac:dyDescent="0.25">
      <c r="A267" s="16">
        <f t="shared" si="40"/>
        <v>264</v>
      </c>
      <c r="B267" s="31" t="str">
        <f t="shared" si="41"/>
        <v/>
      </c>
      <c r="C267" s="66" t="str">
        <f t="shared" si="35"/>
        <v/>
      </c>
      <c r="D267" s="92"/>
      <c r="E267" s="93"/>
      <c r="F267" s="93"/>
      <c r="G267" s="93"/>
      <c r="H267" s="94"/>
      <c r="I267" s="93"/>
      <c r="J267" s="93"/>
      <c r="K267" s="93"/>
      <c r="L267" s="93"/>
      <c r="M267" s="93"/>
      <c r="N267" s="95"/>
      <c r="O267" s="95" t="str">
        <f>IF(N267="","",IF('Event Dataset'!N267&lt;='Drop Downs and Assumptions'!$K$2,'Drop Downs and Assumptions'!$L$2,IF(AND('Event Dataset'!N267&gt;='Drop Downs and Assumptions'!$J$3,'Event Dataset'!N267&lt;='Drop Downs and Assumptions'!$K$3),'Drop Downs and Assumptions'!$L$3,IF(AND('Event Dataset'!N267&gt;='Drop Downs and Assumptions'!$J$4,'Event Dataset'!N267&lt;='Drop Downs and Assumptions'!$K$4),'Drop Downs and Assumptions'!$L$4,IF('Event Dataset'!N267&gt;='Drop Downs and Assumptions'!$J$5,'Drop Downs and Assumptions'!$L$5,"")))))</f>
        <v/>
      </c>
      <c r="P267" s="96"/>
      <c r="Q267" s="97"/>
      <c r="R267" s="98"/>
      <c r="S267" s="99"/>
      <c r="T267" s="99"/>
      <c r="U267" s="99"/>
      <c r="V267" s="99"/>
      <c r="W267" s="99"/>
      <c r="X267" s="99"/>
      <c r="Y267" s="99"/>
      <c r="Z267" s="99"/>
      <c r="AA267" s="99"/>
      <c r="AB267" s="99"/>
      <c r="AC267" s="100"/>
      <c r="AD267" s="101" t="str">
        <f t="shared" si="36"/>
        <v/>
      </c>
      <c r="AE267" s="102" t="str">
        <f t="shared" si="37"/>
        <v/>
      </c>
      <c r="AF267" s="103" t="str">
        <f t="shared" si="38"/>
        <v/>
      </c>
      <c r="AG267" s="104" t="str">
        <f t="shared" si="39"/>
        <v/>
      </c>
    </row>
    <row r="268" spans="1:33" x14ac:dyDescent="0.25">
      <c r="A268" s="4">
        <f t="shared" si="40"/>
        <v>265</v>
      </c>
      <c r="B268" s="30" t="str">
        <f t="shared" si="41"/>
        <v/>
      </c>
      <c r="C268" s="67" t="str">
        <f t="shared" si="35"/>
        <v/>
      </c>
      <c r="D268" s="105"/>
      <c r="E268" s="106"/>
      <c r="F268" s="106"/>
      <c r="G268" s="106"/>
      <c r="H268" s="107"/>
      <c r="I268" s="106"/>
      <c r="J268" s="106"/>
      <c r="K268" s="106"/>
      <c r="L268" s="106"/>
      <c r="M268" s="106"/>
      <c r="N268" s="108"/>
      <c r="O268" s="108" t="str">
        <f>IF(N268="","",IF('Event Dataset'!N268&lt;='Drop Downs and Assumptions'!$K$2,'Drop Downs and Assumptions'!$L$2,IF(AND('Event Dataset'!N268&gt;='Drop Downs and Assumptions'!$J$3,'Event Dataset'!N268&lt;='Drop Downs and Assumptions'!$K$3),'Drop Downs and Assumptions'!$L$3,IF(AND('Event Dataset'!N268&gt;='Drop Downs and Assumptions'!$J$4,'Event Dataset'!N268&lt;='Drop Downs and Assumptions'!$K$4),'Drop Downs and Assumptions'!$L$4,IF('Event Dataset'!N268&gt;='Drop Downs and Assumptions'!$J$5,'Drop Downs and Assumptions'!$L$5,"")))))</f>
        <v/>
      </c>
      <c r="P268" s="109"/>
      <c r="Q268" s="97"/>
      <c r="R268" s="110"/>
      <c r="S268" s="111"/>
      <c r="T268" s="111"/>
      <c r="U268" s="111"/>
      <c r="V268" s="111"/>
      <c r="W268" s="111"/>
      <c r="X268" s="111"/>
      <c r="Y268" s="111"/>
      <c r="Z268" s="111"/>
      <c r="AA268" s="111"/>
      <c r="AB268" s="111"/>
      <c r="AC268" s="112"/>
      <c r="AD268" s="113" t="str">
        <f t="shared" si="36"/>
        <v/>
      </c>
      <c r="AE268" s="114" t="str">
        <f t="shared" si="37"/>
        <v/>
      </c>
      <c r="AF268" s="115" t="str">
        <f t="shared" si="38"/>
        <v/>
      </c>
      <c r="AG268" s="116" t="str">
        <f t="shared" si="39"/>
        <v/>
      </c>
    </row>
    <row r="269" spans="1:33" x14ac:dyDescent="0.25">
      <c r="A269" s="16">
        <f t="shared" si="40"/>
        <v>266</v>
      </c>
      <c r="B269" s="31" t="str">
        <f t="shared" si="41"/>
        <v/>
      </c>
      <c r="C269" s="66" t="str">
        <f t="shared" si="35"/>
        <v/>
      </c>
      <c r="D269" s="92"/>
      <c r="E269" s="93"/>
      <c r="F269" s="93"/>
      <c r="G269" s="93"/>
      <c r="H269" s="94"/>
      <c r="I269" s="93"/>
      <c r="J269" s="93"/>
      <c r="K269" s="93"/>
      <c r="L269" s="93"/>
      <c r="M269" s="93"/>
      <c r="N269" s="95"/>
      <c r="O269" s="95" t="str">
        <f>IF(N269="","",IF('Event Dataset'!N269&lt;='Drop Downs and Assumptions'!$K$2,'Drop Downs and Assumptions'!$L$2,IF(AND('Event Dataset'!N269&gt;='Drop Downs and Assumptions'!$J$3,'Event Dataset'!N269&lt;='Drop Downs and Assumptions'!$K$3),'Drop Downs and Assumptions'!$L$3,IF(AND('Event Dataset'!N269&gt;='Drop Downs and Assumptions'!$J$4,'Event Dataset'!N269&lt;='Drop Downs and Assumptions'!$K$4),'Drop Downs and Assumptions'!$L$4,IF('Event Dataset'!N269&gt;='Drop Downs and Assumptions'!$J$5,'Drop Downs and Assumptions'!$L$5,"")))))</f>
        <v/>
      </c>
      <c r="P269" s="96"/>
      <c r="Q269" s="97"/>
      <c r="R269" s="98"/>
      <c r="S269" s="99"/>
      <c r="T269" s="99"/>
      <c r="U269" s="99"/>
      <c r="V269" s="99"/>
      <c r="W269" s="99"/>
      <c r="X269" s="99"/>
      <c r="Y269" s="99"/>
      <c r="Z269" s="99"/>
      <c r="AA269" s="99"/>
      <c r="AB269" s="99"/>
      <c r="AC269" s="100"/>
      <c r="AD269" s="101" t="str">
        <f t="shared" si="36"/>
        <v/>
      </c>
      <c r="AE269" s="102" t="str">
        <f t="shared" si="37"/>
        <v/>
      </c>
      <c r="AF269" s="103" t="str">
        <f t="shared" si="38"/>
        <v/>
      </c>
      <c r="AG269" s="104" t="str">
        <f t="shared" si="39"/>
        <v/>
      </c>
    </row>
    <row r="270" spans="1:33" x14ac:dyDescent="0.25">
      <c r="A270" s="4">
        <f t="shared" si="40"/>
        <v>267</v>
      </c>
      <c r="B270" s="30" t="str">
        <f t="shared" si="41"/>
        <v/>
      </c>
      <c r="C270" s="67" t="str">
        <f t="shared" si="35"/>
        <v/>
      </c>
      <c r="D270" s="105"/>
      <c r="E270" s="106"/>
      <c r="F270" s="106"/>
      <c r="G270" s="106"/>
      <c r="H270" s="107"/>
      <c r="I270" s="106"/>
      <c r="J270" s="106"/>
      <c r="K270" s="106"/>
      <c r="L270" s="106"/>
      <c r="M270" s="106"/>
      <c r="N270" s="108"/>
      <c r="O270" s="108" t="str">
        <f>IF(N270="","",IF('Event Dataset'!N270&lt;='Drop Downs and Assumptions'!$K$2,'Drop Downs and Assumptions'!$L$2,IF(AND('Event Dataset'!N270&gt;='Drop Downs and Assumptions'!$J$3,'Event Dataset'!N270&lt;='Drop Downs and Assumptions'!$K$3),'Drop Downs and Assumptions'!$L$3,IF(AND('Event Dataset'!N270&gt;='Drop Downs and Assumptions'!$J$4,'Event Dataset'!N270&lt;='Drop Downs and Assumptions'!$K$4),'Drop Downs and Assumptions'!$L$4,IF('Event Dataset'!N270&gt;='Drop Downs and Assumptions'!$J$5,'Drop Downs and Assumptions'!$L$5,"")))))</f>
        <v/>
      </c>
      <c r="P270" s="109"/>
      <c r="Q270" s="97"/>
      <c r="R270" s="110"/>
      <c r="S270" s="111"/>
      <c r="T270" s="111"/>
      <c r="U270" s="111"/>
      <c r="V270" s="111"/>
      <c r="W270" s="111"/>
      <c r="X270" s="111"/>
      <c r="Y270" s="111"/>
      <c r="Z270" s="111"/>
      <c r="AA270" s="111"/>
      <c r="AB270" s="111"/>
      <c r="AC270" s="112"/>
      <c r="AD270" s="113" t="str">
        <f t="shared" si="36"/>
        <v/>
      </c>
      <c r="AE270" s="114" t="str">
        <f t="shared" si="37"/>
        <v/>
      </c>
      <c r="AF270" s="115" t="str">
        <f t="shared" si="38"/>
        <v/>
      </c>
      <c r="AG270" s="116" t="str">
        <f t="shared" si="39"/>
        <v/>
      </c>
    </row>
    <row r="271" spans="1:33" x14ac:dyDescent="0.25">
      <c r="A271" s="16">
        <f t="shared" si="40"/>
        <v>268</v>
      </c>
      <c r="B271" s="31" t="str">
        <f t="shared" si="41"/>
        <v/>
      </c>
      <c r="C271" s="66" t="str">
        <f t="shared" si="35"/>
        <v/>
      </c>
      <c r="D271" s="92"/>
      <c r="E271" s="93"/>
      <c r="F271" s="93"/>
      <c r="G271" s="93"/>
      <c r="H271" s="94"/>
      <c r="I271" s="93"/>
      <c r="J271" s="93"/>
      <c r="K271" s="93"/>
      <c r="L271" s="93"/>
      <c r="M271" s="93"/>
      <c r="N271" s="95"/>
      <c r="O271" s="95" t="str">
        <f>IF(N271="","",IF('Event Dataset'!N271&lt;='Drop Downs and Assumptions'!$K$2,'Drop Downs and Assumptions'!$L$2,IF(AND('Event Dataset'!N271&gt;='Drop Downs and Assumptions'!$J$3,'Event Dataset'!N271&lt;='Drop Downs and Assumptions'!$K$3),'Drop Downs and Assumptions'!$L$3,IF(AND('Event Dataset'!N271&gt;='Drop Downs and Assumptions'!$J$4,'Event Dataset'!N271&lt;='Drop Downs and Assumptions'!$K$4),'Drop Downs and Assumptions'!$L$4,IF('Event Dataset'!N271&gt;='Drop Downs and Assumptions'!$J$5,'Drop Downs and Assumptions'!$L$5,"")))))</f>
        <v/>
      </c>
      <c r="P271" s="96"/>
      <c r="Q271" s="97"/>
      <c r="R271" s="98"/>
      <c r="S271" s="99"/>
      <c r="T271" s="99"/>
      <c r="U271" s="99"/>
      <c r="V271" s="99"/>
      <c r="W271" s="99"/>
      <c r="X271" s="99"/>
      <c r="Y271" s="99"/>
      <c r="Z271" s="99"/>
      <c r="AA271" s="99"/>
      <c r="AB271" s="99"/>
      <c r="AC271" s="100"/>
      <c r="AD271" s="101" t="str">
        <f t="shared" si="36"/>
        <v/>
      </c>
      <c r="AE271" s="102" t="str">
        <f t="shared" si="37"/>
        <v/>
      </c>
      <c r="AF271" s="103" t="str">
        <f t="shared" si="38"/>
        <v/>
      </c>
      <c r="AG271" s="104" t="str">
        <f t="shared" si="39"/>
        <v/>
      </c>
    </row>
    <row r="272" spans="1:33" x14ac:dyDescent="0.25">
      <c r="A272" s="4">
        <f t="shared" si="40"/>
        <v>269</v>
      </c>
      <c r="B272" s="30" t="str">
        <f t="shared" si="41"/>
        <v/>
      </c>
      <c r="C272" s="67" t="str">
        <f t="shared" si="35"/>
        <v/>
      </c>
      <c r="D272" s="105"/>
      <c r="E272" s="106"/>
      <c r="F272" s="106"/>
      <c r="G272" s="106"/>
      <c r="H272" s="107"/>
      <c r="I272" s="106"/>
      <c r="J272" s="106"/>
      <c r="K272" s="106"/>
      <c r="L272" s="106"/>
      <c r="M272" s="106"/>
      <c r="N272" s="108"/>
      <c r="O272" s="108" t="str">
        <f>IF(N272="","",IF('Event Dataset'!N272&lt;='Drop Downs and Assumptions'!$K$2,'Drop Downs and Assumptions'!$L$2,IF(AND('Event Dataset'!N272&gt;='Drop Downs and Assumptions'!$J$3,'Event Dataset'!N272&lt;='Drop Downs and Assumptions'!$K$3),'Drop Downs and Assumptions'!$L$3,IF(AND('Event Dataset'!N272&gt;='Drop Downs and Assumptions'!$J$4,'Event Dataset'!N272&lt;='Drop Downs and Assumptions'!$K$4),'Drop Downs and Assumptions'!$L$4,IF('Event Dataset'!N272&gt;='Drop Downs and Assumptions'!$J$5,'Drop Downs and Assumptions'!$L$5,"")))))</f>
        <v/>
      </c>
      <c r="P272" s="109"/>
      <c r="Q272" s="97"/>
      <c r="R272" s="110"/>
      <c r="S272" s="111"/>
      <c r="T272" s="111"/>
      <c r="U272" s="111"/>
      <c r="V272" s="111"/>
      <c r="W272" s="111"/>
      <c r="X272" s="111"/>
      <c r="Y272" s="111"/>
      <c r="Z272" s="111"/>
      <c r="AA272" s="111"/>
      <c r="AB272" s="111"/>
      <c r="AC272" s="112"/>
      <c r="AD272" s="113" t="str">
        <f t="shared" si="36"/>
        <v/>
      </c>
      <c r="AE272" s="114" t="str">
        <f t="shared" si="37"/>
        <v/>
      </c>
      <c r="AF272" s="115" t="str">
        <f t="shared" si="38"/>
        <v/>
      </c>
      <c r="AG272" s="116" t="str">
        <f t="shared" si="39"/>
        <v/>
      </c>
    </row>
    <row r="273" spans="1:33" x14ac:dyDescent="0.25">
      <c r="A273" s="16">
        <f t="shared" si="40"/>
        <v>270</v>
      </c>
      <c r="B273" s="31" t="str">
        <f t="shared" si="41"/>
        <v/>
      </c>
      <c r="C273" s="66" t="str">
        <f t="shared" si="35"/>
        <v/>
      </c>
      <c r="D273" s="92"/>
      <c r="E273" s="93"/>
      <c r="F273" s="93"/>
      <c r="G273" s="93"/>
      <c r="H273" s="94"/>
      <c r="I273" s="93"/>
      <c r="J273" s="93"/>
      <c r="K273" s="93"/>
      <c r="L273" s="93"/>
      <c r="M273" s="93"/>
      <c r="N273" s="95"/>
      <c r="O273" s="95" t="str">
        <f>IF(N273="","",IF('Event Dataset'!N273&lt;='Drop Downs and Assumptions'!$K$2,'Drop Downs and Assumptions'!$L$2,IF(AND('Event Dataset'!N273&gt;='Drop Downs and Assumptions'!$J$3,'Event Dataset'!N273&lt;='Drop Downs and Assumptions'!$K$3),'Drop Downs and Assumptions'!$L$3,IF(AND('Event Dataset'!N273&gt;='Drop Downs and Assumptions'!$J$4,'Event Dataset'!N273&lt;='Drop Downs and Assumptions'!$K$4),'Drop Downs and Assumptions'!$L$4,IF('Event Dataset'!N273&gt;='Drop Downs and Assumptions'!$J$5,'Drop Downs and Assumptions'!$L$5,"")))))</f>
        <v/>
      </c>
      <c r="P273" s="96"/>
      <c r="Q273" s="97"/>
      <c r="R273" s="98"/>
      <c r="S273" s="99"/>
      <c r="T273" s="99"/>
      <c r="U273" s="99"/>
      <c r="V273" s="99"/>
      <c r="W273" s="99"/>
      <c r="X273" s="99"/>
      <c r="Y273" s="99"/>
      <c r="Z273" s="99"/>
      <c r="AA273" s="99"/>
      <c r="AB273" s="99"/>
      <c r="AC273" s="100"/>
      <c r="AD273" s="101" t="str">
        <f t="shared" si="36"/>
        <v/>
      </c>
      <c r="AE273" s="102" t="str">
        <f t="shared" si="37"/>
        <v/>
      </c>
      <c r="AF273" s="103" t="str">
        <f t="shared" si="38"/>
        <v/>
      </c>
      <c r="AG273" s="104" t="str">
        <f t="shared" si="39"/>
        <v/>
      </c>
    </row>
    <row r="274" spans="1:33" x14ac:dyDescent="0.25">
      <c r="A274" s="4">
        <f t="shared" si="40"/>
        <v>271</v>
      </c>
      <c r="B274" s="30" t="str">
        <f t="shared" si="41"/>
        <v/>
      </c>
      <c r="C274" s="67" t="str">
        <f t="shared" si="35"/>
        <v/>
      </c>
      <c r="D274" s="105"/>
      <c r="E274" s="106"/>
      <c r="F274" s="106"/>
      <c r="G274" s="106"/>
      <c r="H274" s="107"/>
      <c r="I274" s="106"/>
      <c r="J274" s="106"/>
      <c r="K274" s="106"/>
      <c r="L274" s="106"/>
      <c r="M274" s="106"/>
      <c r="N274" s="108"/>
      <c r="O274" s="108" t="str">
        <f>IF(N274="","",IF('Event Dataset'!N274&lt;='Drop Downs and Assumptions'!$K$2,'Drop Downs and Assumptions'!$L$2,IF(AND('Event Dataset'!N274&gt;='Drop Downs and Assumptions'!$J$3,'Event Dataset'!N274&lt;='Drop Downs and Assumptions'!$K$3),'Drop Downs and Assumptions'!$L$3,IF(AND('Event Dataset'!N274&gt;='Drop Downs and Assumptions'!$J$4,'Event Dataset'!N274&lt;='Drop Downs and Assumptions'!$K$4),'Drop Downs and Assumptions'!$L$4,IF('Event Dataset'!N274&gt;='Drop Downs and Assumptions'!$J$5,'Drop Downs and Assumptions'!$L$5,"")))))</f>
        <v/>
      </c>
      <c r="P274" s="109"/>
      <c r="Q274" s="97"/>
      <c r="R274" s="110"/>
      <c r="S274" s="111"/>
      <c r="T274" s="111"/>
      <c r="U274" s="111"/>
      <c r="V274" s="111"/>
      <c r="W274" s="111"/>
      <c r="X274" s="111"/>
      <c r="Y274" s="111"/>
      <c r="Z274" s="111"/>
      <c r="AA274" s="111"/>
      <c r="AB274" s="111"/>
      <c r="AC274" s="112"/>
      <c r="AD274" s="113" t="str">
        <f t="shared" si="36"/>
        <v/>
      </c>
      <c r="AE274" s="114" t="str">
        <f t="shared" si="37"/>
        <v/>
      </c>
      <c r="AF274" s="115" t="str">
        <f t="shared" si="38"/>
        <v/>
      </c>
      <c r="AG274" s="116" t="str">
        <f t="shared" si="39"/>
        <v/>
      </c>
    </row>
    <row r="275" spans="1:33" x14ac:dyDescent="0.25">
      <c r="A275" s="16">
        <f t="shared" si="40"/>
        <v>272</v>
      </c>
      <c r="B275" s="31" t="str">
        <f t="shared" si="41"/>
        <v/>
      </c>
      <c r="C275" s="66" t="str">
        <f t="shared" si="35"/>
        <v/>
      </c>
      <c r="D275" s="92"/>
      <c r="E275" s="93"/>
      <c r="F275" s="93"/>
      <c r="G275" s="93"/>
      <c r="H275" s="94"/>
      <c r="I275" s="93"/>
      <c r="J275" s="93"/>
      <c r="K275" s="93"/>
      <c r="L275" s="93"/>
      <c r="M275" s="93"/>
      <c r="N275" s="95"/>
      <c r="O275" s="95" t="str">
        <f>IF(N275="","",IF('Event Dataset'!N275&lt;='Drop Downs and Assumptions'!$K$2,'Drop Downs and Assumptions'!$L$2,IF(AND('Event Dataset'!N275&gt;='Drop Downs and Assumptions'!$J$3,'Event Dataset'!N275&lt;='Drop Downs and Assumptions'!$K$3),'Drop Downs and Assumptions'!$L$3,IF(AND('Event Dataset'!N275&gt;='Drop Downs and Assumptions'!$J$4,'Event Dataset'!N275&lt;='Drop Downs and Assumptions'!$K$4),'Drop Downs and Assumptions'!$L$4,IF('Event Dataset'!N275&gt;='Drop Downs and Assumptions'!$J$5,'Drop Downs and Assumptions'!$L$5,"")))))</f>
        <v/>
      </c>
      <c r="P275" s="96"/>
      <c r="Q275" s="97"/>
      <c r="R275" s="98"/>
      <c r="S275" s="99"/>
      <c r="T275" s="99"/>
      <c r="U275" s="99"/>
      <c r="V275" s="99"/>
      <c r="W275" s="99"/>
      <c r="X275" s="99"/>
      <c r="Y275" s="99"/>
      <c r="Z275" s="99"/>
      <c r="AA275" s="99"/>
      <c r="AB275" s="99"/>
      <c r="AC275" s="100"/>
      <c r="AD275" s="101" t="str">
        <f t="shared" si="36"/>
        <v/>
      </c>
      <c r="AE275" s="102" t="str">
        <f t="shared" si="37"/>
        <v/>
      </c>
      <c r="AF275" s="103" t="str">
        <f t="shared" si="38"/>
        <v/>
      </c>
      <c r="AG275" s="104" t="str">
        <f t="shared" si="39"/>
        <v/>
      </c>
    </row>
    <row r="276" spans="1:33" x14ac:dyDescent="0.25">
      <c r="A276" s="4">
        <f t="shared" si="40"/>
        <v>273</v>
      </c>
      <c r="B276" s="30" t="str">
        <f t="shared" si="41"/>
        <v/>
      </c>
      <c r="C276" s="67" t="str">
        <f t="shared" si="35"/>
        <v/>
      </c>
      <c r="D276" s="105"/>
      <c r="E276" s="106"/>
      <c r="F276" s="106"/>
      <c r="G276" s="106"/>
      <c r="H276" s="107"/>
      <c r="I276" s="106"/>
      <c r="J276" s="106"/>
      <c r="K276" s="106"/>
      <c r="L276" s="106"/>
      <c r="M276" s="106"/>
      <c r="N276" s="108"/>
      <c r="O276" s="108" t="str">
        <f>IF(N276="","",IF('Event Dataset'!N276&lt;='Drop Downs and Assumptions'!$K$2,'Drop Downs and Assumptions'!$L$2,IF(AND('Event Dataset'!N276&gt;='Drop Downs and Assumptions'!$J$3,'Event Dataset'!N276&lt;='Drop Downs and Assumptions'!$K$3),'Drop Downs and Assumptions'!$L$3,IF(AND('Event Dataset'!N276&gt;='Drop Downs and Assumptions'!$J$4,'Event Dataset'!N276&lt;='Drop Downs and Assumptions'!$K$4),'Drop Downs and Assumptions'!$L$4,IF('Event Dataset'!N276&gt;='Drop Downs and Assumptions'!$J$5,'Drop Downs and Assumptions'!$L$5,"")))))</f>
        <v/>
      </c>
      <c r="P276" s="109"/>
      <c r="Q276" s="97"/>
      <c r="R276" s="110"/>
      <c r="S276" s="111"/>
      <c r="T276" s="111"/>
      <c r="U276" s="111"/>
      <c r="V276" s="111"/>
      <c r="W276" s="111"/>
      <c r="X276" s="111"/>
      <c r="Y276" s="111"/>
      <c r="Z276" s="111"/>
      <c r="AA276" s="111"/>
      <c r="AB276" s="111"/>
      <c r="AC276" s="112"/>
      <c r="AD276" s="113" t="str">
        <f t="shared" si="36"/>
        <v/>
      </c>
      <c r="AE276" s="114" t="str">
        <f t="shared" si="37"/>
        <v/>
      </c>
      <c r="AF276" s="115" t="str">
        <f t="shared" si="38"/>
        <v/>
      </c>
      <c r="AG276" s="116" t="str">
        <f t="shared" si="39"/>
        <v/>
      </c>
    </row>
    <row r="277" spans="1:33" x14ac:dyDescent="0.25">
      <c r="A277" s="16">
        <f t="shared" si="40"/>
        <v>274</v>
      </c>
      <c r="B277" s="31" t="str">
        <f t="shared" si="41"/>
        <v/>
      </c>
      <c r="C277" s="66" t="str">
        <f t="shared" si="35"/>
        <v/>
      </c>
      <c r="D277" s="92"/>
      <c r="E277" s="93"/>
      <c r="F277" s="93"/>
      <c r="G277" s="93"/>
      <c r="H277" s="94"/>
      <c r="I277" s="93"/>
      <c r="J277" s="93"/>
      <c r="K277" s="93"/>
      <c r="L277" s="93"/>
      <c r="M277" s="93"/>
      <c r="N277" s="95"/>
      <c r="O277" s="95" t="str">
        <f>IF(N277="","",IF('Event Dataset'!N277&lt;='Drop Downs and Assumptions'!$K$2,'Drop Downs and Assumptions'!$L$2,IF(AND('Event Dataset'!N277&gt;='Drop Downs and Assumptions'!$J$3,'Event Dataset'!N277&lt;='Drop Downs and Assumptions'!$K$3),'Drop Downs and Assumptions'!$L$3,IF(AND('Event Dataset'!N277&gt;='Drop Downs and Assumptions'!$J$4,'Event Dataset'!N277&lt;='Drop Downs and Assumptions'!$K$4),'Drop Downs and Assumptions'!$L$4,IF('Event Dataset'!N277&gt;='Drop Downs and Assumptions'!$J$5,'Drop Downs and Assumptions'!$L$5,"")))))</f>
        <v/>
      </c>
      <c r="P277" s="96"/>
      <c r="Q277" s="97"/>
      <c r="R277" s="98"/>
      <c r="S277" s="99"/>
      <c r="T277" s="99"/>
      <c r="U277" s="99"/>
      <c r="V277" s="99"/>
      <c r="W277" s="99"/>
      <c r="X277" s="99"/>
      <c r="Y277" s="99"/>
      <c r="Z277" s="99"/>
      <c r="AA277" s="99"/>
      <c r="AB277" s="99"/>
      <c r="AC277" s="100"/>
      <c r="AD277" s="101" t="str">
        <f t="shared" si="36"/>
        <v/>
      </c>
      <c r="AE277" s="102" t="str">
        <f t="shared" si="37"/>
        <v/>
      </c>
      <c r="AF277" s="103" t="str">
        <f t="shared" si="38"/>
        <v/>
      </c>
      <c r="AG277" s="104" t="str">
        <f t="shared" si="39"/>
        <v/>
      </c>
    </row>
    <row r="278" spans="1:33" x14ac:dyDescent="0.25">
      <c r="A278" s="4">
        <f t="shared" si="40"/>
        <v>275</v>
      </c>
      <c r="B278" s="30" t="str">
        <f t="shared" si="41"/>
        <v/>
      </c>
      <c r="C278" s="67" t="str">
        <f t="shared" si="35"/>
        <v/>
      </c>
      <c r="D278" s="105"/>
      <c r="E278" s="106"/>
      <c r="F278" s="106"/>
      <c r="G278" s="106"/>
      <c r="H278" s="107"/>
      <c r="I278" s="106"/>
      <c r="J278" s="106"/>
      <c r="K278" s="106"/>
      <c r="L278" s="106"/>
      <c r="M278" s="106"/>
      <c r="N278" s="108"/>
      <c r="O278" s="108" t="str">
        <f>IF(N278="","",IF('Event Dataset'!N278&lt;='Drop Downs and Assumptions'!$K$2,'Drop Downs and Assumptions'!$L$2,IF(AND('Event Dataset'!N278&gt;='Drop Downs and Assumptions'!$J$3,'Event Dataset'!N278&lt;='Drop Downs and Assumptions'!$K$3),'Drop Downs and Assumptions'!$L$3,IF(AND('Event Dataset'!N278&gt;='Drop Downs and Assumptions'!$J$4,'Event Dataset'!N278&lt;='Drop Downs and Assumptions'!$K$4),'Drop Downs and Assumptions'!$L$4,IF('Event Dataset'!N278&gt;='Drop Downs and Assumptions'!$J$5,'Drop Downs and Assumptions'!$L$5,"")))))</f>
        <v/>
      </c>
      <c r="P278" s="109"/>
      <c r="Q278" s="97"/>
      <c r="R278" s="110"/>
      <c r="S278" s="111"/>
      <c r="T278" s="111"/>
      <c r="U278" s="111"/>
      <c r="V278" s="111"/>
      <c r="W278" s="111"/>
      <c r="X278" s="111"/>
      <c r="Y278" s="111"/>
      <c r="Z278" s="111"/>
      <c r="AA278" s="111"/>
      <c r="AB278" s="111"/>
      <c r="AC278" s="112"/>
      <c r="AD278" s="113" t="str">
        <f t="shared" si="36"/>
        <v/>
      </c>
      <c r="AE278" s="114" t="str">
        <f t="shared" si="37"/>
        <v/>
      </c>
      <c r="AF278" s="115" t="str">
        <f t="shared" si="38"/>
        <v/>
      </c>
      <c r="AG278" s="116" t="str">
        <f t="shared" si="39"/>
        <v/>
      </c>
    </row>
    <row r="279" spans="1:33" x14ac:dyDescent="0.25">
      <c r="A279" s="16">
        <f t="shared" si="40"/>
        <v>276</v>
      </c>
      <c r="B279" s="31" t="str">
        <f t="shared" si="41"/>
        <v/>
      </c>
      <c r="C279" s="66" t="str">
        <f t="shared" si="35"/>
        <v/>
      </c>
      <c r="D279" s="92"/>
      <c r="E279" s="93"/>
      <c r="F279" s="93"/>
      <c r="G279" s="93"/>
      <c r="H279" s="94"/>
      <c r="I279" s="93"/>
      <c r="J279" s="93"/>
      <c r="K279" s="93"/>
      <c r="L279" s="93"/>
      <c r="M279" s="93"/>
      <c r="N279" s="95"/>
      <c r="O279" s="95" t="str">
        <f>IF(N279="","",IF('Event Dataset'!N279&lt;='Drop Downs and Assumptions'!$K$2,'Drop Downs and Assumptions'!$L$2,IF(AND('Event Dataset'!N279&gt;='Drop Downs and Assumptions'!$J$3,'Event Dataset'!N279&lt;='Drop Downs and Assumptions'!$K$3),'Drop Downs and Assumptions'!$L$3,IF(AND('Event Dataset'!N279&gt;='Drop Downs and Assumptions'!$J$4,'Event Dataset'!N279&lt;='Drop Downs and Assumptions'!$K$4),'Drop Downs and Assumptions'!$L$4,IF('Event Dataset'!N279&gt;='Drop Downs and Assumptions'!$J$5,'Drop Downs and Assumptions'!$L$5,"")))))</f>
        <v/>
      </c>
      <c r="P279" s="96"/>
      <c r="Q279" s="97"/>
      <c r="R279" s="98"/>
      <c r="S279" s="99"/>
      <c r="T279" s="99"/>
      <c r="U279" s="99"/>
      <c r="V279" s="99"/>
      <c r="W279" s="99"/>
      <c r="X279" s="99"/>
      <c r="Y279" s="99"/>
      <c r="Z279" s="99"/>
      <c r="AA279" s="99"/>
      <c r="AB279" s="99"/>
      <c r="AC279" s="100"/>
      <c r="AD279" s="101" t="str">
        <f t="shared" si="36"/>
        <v/>
      </c>
      <c r="AE279" s="102" t="str">
        <f t="shared" si="37"/>
        <v/>
      </c>
      <c r="AF279" s="103" t="str">
        <f t="shared" si="38"/>
        <v/>
      </c>
      <c r="AG279" s="104" t="str">
        <f t="shared" si="39"/>
        <v/>
      </c>
    </row>
    <row r="280" spans="1:33" x14ac:dyDescent="0.25">
      <c r="A280" s="4">
        <f t="shared" si="40"/>
        <v>277</v>
      </c>
      <c r="B280" s="30" t="str">
        <f t="shared" si="41"/>
        <v/>
      </c>
      <c r="C280" s="67" t="str">
        <f t="shared" si="35"/>
        <v/>
      </c>
      <c r="D280" s="105"/>
      <c r="E280" s="106"/>
      <c r="F280" s="106"/>
      <c r="G280" s="106"/>
      <c r="H280" s="107"/>
      <c r="I280" s="106"/>
      <c r="J280" s="106"/>
      <c r="K280" s="106"/>
      <c r="L280" s="106"/>
      <c r="M280" s="106"/>
      <c r="N280" s="108"/>
      <c r="O280" s="108" t="str">
        <f>IF(N280="","",IF('Event Dataset'!N280&lt;='Drop Downs and Assumptions'!$K$2,'Drop Downs and Assumptions'!$L$2,IF(AND('Event Dataset'!N280&gt;='Drop Downs and Assumptions'!$J$3,'Event Dataset'!N280&lt;='Drop Downs and Assumptions'!$K$3),'Drop Downs and Assumptions'!$L$3,IF(AND('Event Dataset'!N280&gt;='Drop Downs and Assumptions'!$J$4,'Event Dataset'!N280&lt;='Drop Downs and Assumptions'!$K$4),'Drop Downs and Assumptions'!$L$4,IF('Event Dataset'!N280&gt;='Drop Downs and Assumptions'!$J$5,'Drop Downs and Assumptions'!$L$5,"")))))</f>
        <v/>
      </c>
      <c r="P280" s="109"/>
      <c r="Q280" s="97"/>
      <c r="R280" s="110"/>
      <c r="S280" s="111"/>
      <c r="T280" s="111"/>
      <c r="U280" s="111"/>
      <c r="V280" s="111"/>
      <c r="W280" s="111"/>
      <c r="X280" s="111"/>
      <c r="Y280" s="111"/>
      <c r="Z280" s="111"/>
      <c r="AA280" s="111"/>
      <c r="AB280" s="111"/>
      <c r="AC280" s="112"/>
      <c r="AD280" s="113" t="str">
        <f t="shared" si="36"/>
        <v/>
      </c>
      <c r="AE280" s="114" t="str">
        <f t="shared" si="37"/>
        <v/>
      </c>
      <c r="AF280" s="115" t="str">
        <f t="shared" si="38"/>
        <v/>
      </c>
      <c r="AG280" s="116" t="str">
        <f t="shared" si="39"/>
        <v/>
      </c>
    </row>
    <row r="281" spans="1:33" x14ac:dyDescent="0.25">
      <c r="A281" s="16">
        <f t="shared" si="40"/>
        <v>278</v>
      </c>
      <c r="B281" s="31" t="str">
        <f t="shared" si="41"/>
        <v/>
      </c>
      <c r="C281" s="66" t="str">
        <f t="shared" si="35"/>
        <v/>
      </c>
      <c r="D281" s="92"/>
      <c r="E281" s="93"/>
      <c r="F281" s="93"/>
      <c r="G281" s="93"/>
      <c r="H281" s="94"/>
      <c r="I281" s="93"/>
      <c r="J281" s="93"/>
      <c r="K281" s="93"/>
      <c r="L281" s="93"/>
      <c r="M281" s="93"/>
      <c r="N281" s="95"/>
      <c r="O281" s="95" t="str">
        <f>IF(N281="","",IF('Event Dataset'!N281&lt;='Drop Downs and Assumptions'!$K$2,'Drop Downs and Assumptions'!$L$2,IF(AND('Event Dataset'!N281&gt;='Drop Downs and Assumptions'!$J$3,'Event Dataset'!N281&lt;='Drop Downs and Assumptions'!$K$3),'Drop Downs and Assumptions'!$L$3,IF(AND('Event Dataset'!N281&gt;='Drop Downs and Assumptions'!$J$4,'Event Dataset'!N281&lt;='Drop Downs and Assumptions'!$K$4),'Drop Downs and Assumptions'!$L$4,IF('Event Dataset'!N281&gt;='Drop Downs and Assumptions'!$J$5,'Drop Downs and Assumptions'!$L$5,"")))))</f>
        <v/>
      </c>
      <c r="P281" s="96"/>
      <c r="Q281" s="97"/>
      <c r="R281" s="98"/>
      <c r="S281" s="99"/>
      <c r="T281" s="99"/>
      <c r="U281" s="99"/>
      <c r="V281" s="99"/>
      <c r="W281" s="99"/>
      <c r="X281" s="99"/>
      <c r="Y281" s="99"/>
      <c r="Z281" s="99"/>
      <c r="AA281" s="99"/>
      <c r="AB281" s="99"/>
      <c r="AC281" s="100"/>
      <c r="AD281" s="101" t="str">
        <f t="shared" si="36"/>
        <v/>
      </c>
      <c r="AE281" s="102" t="str">
        <f t="shared" si="37"/>
        <v/>
      </c>
      <c r="AF281" s="103" t="str">
        <f t="shared" si="38"/>
        <v/>
      </c>
      <c r="AG281" s="104" t="str">
        <f t="shared" si="39"/>
        <v/>
      </c>
    </row>
    <row r="282" spans="1:33" x14ac:dyDescent="0.25">
      <c r="A282" s="4">
        <f t="shared" si="40"/>
        <v>279</v>
      </c>
      <c r="B282" s="30" t="str">
        <f t="shared" si="41"/>
        <v/>
      </c>
      <c r="C282" s="67" t="str">
        <f t="shared" si="35"/>
        <v/>
      </c>
      <c r="D282" s="105"/>
      <c r="E282" s="106"/>
      <c r="F282" s="106"/>
      <c r="G282" s="106"/>
      <c r="H282" s="107"/>
      <c r="I282" s="106"/>
      <c r="J282" s="106"/>
      <c r="K282" s="106"/>
      <c r="L282" s="106"/>
      <c r="M282" s="106"/>
      <c r="N282" s="108"/>
      <c r="O282" s="108" t="str">
        <f>IF(N282="","",IF('Event Dataset'!N282&lt;='Drop Downs and Assumptions'!$K$2,'Drop Downs and Assumptions'!$L$2,IF(AND('Event Dataset'!N282&gt;='Drop Downs and Assumptions'!$J$3,'Event Dataset'!N282&lt;='Drop Downs and Assumptions'!$K$3),'Drop Downs and Assumptions'!$L$3,IF(AND('Event Dataset'!N282&gt;='Drop Downs and Assumptions'!$J$4,'Event Dataset'!N282&lt;='Drop Downs and Assumptions'!$K$4),'Drop Downs and Assumptions'!$L$4,IF('Event Dataset'!N282&gt;='Drop Downs and Assumptions'!$J$5,'Drop Downs and Assumptions'!$L$5,"")))))</f>
        <v/>
      </c>
      <c r="P282" s="109"/>
      <c r="Q282" s="97"/>
      <c r="R282" s="110"/>
      <c r="S282" s="111"/>
      <c r="T282" s="111"/>
      <c r="U282" s="111"/>
      <c r="V282" s="111"/>
      <c r="W282" s="111"/>
      <c r="X282" s="111"/>
      <c r="Y282" s="111"/>
      <c r="Z282" s="111"/>
      <c r="AA282" s="111"/>
      <c r="AB282" s="111"/>
      <c r="AC282" s="112"/>
      <c r="AD282" s="113" t="str">
        <f t="shared" si="36"/>
        <v/>
      </c>
      <c r="AE282" s="114" t="str">
        <f t="shared" si="37"/>
        <v/>
      </c>
      <c r="AF282" s="115" t="str">
        <f t="shared" si="38"/>
        <v/>
      </c>
      <c r="AG282" s="116" t="str">
        <f t="shared" si="39"/>
        <v/>
      </c>
    </row>
    <row r="283" spans="1:33" x14ac:dyDescent="0.25">
      <c r="A283" s="16">
        <f t="shared" si="40"/>
        <v>280</v>
      </c>
      <c r="B283" s="31" t="str">
        <f t="shared" si="41"/>
        <v/>
      </c>
      <c r="C283" s="66" t="str">
        <f t="shared" si="35"/>
        <v/>
      </c>
      <c r="D283" s="92"/>
      <c r="E283" s="93"/>
      <c r="F283" s="93"/>
      <c r="G283" s="93"/>
      <c r="H283" s="94"/>
      <c r="I283" s="93"/>
      <c r="J283" s="93"/>
      <c r="K283" s="93"/>
      <c r="L283" s="93"/>
      <c r="M283" s="93"/>
      <c r="N283" s="95"/>
      <c r="O283" s="95" t="str">
        <f>IF(N283="","",IF('Event Dataset'!N283&lt;='Drop Downs and Assumptions'!$K$2,'Drop Downs and Assumptions'!$L$2,IF(AND('Event Dataset'!N283&gt;='Drop Downs and Assumptions'!$J$3,'Event Dataset'!N283&lt;='Drop Downs and Assumptions'!$K$3),'Drop Downs and Assumptions'!$L$3,IF(AND('Event Dataset'!N283&gt;='Drop Downs and Assumptions'!$J$4,'Event Dataset'!N283&lt;='Drop Downs and Assumptions'!$K$4),'Drop Downs and Assumptions'!$L$4,IF('Event Dataset'!N283&gt;='Drop Downs and Assumptions'!$J$5,'Drop Downs and Assumptions'!$L$5,"")))))</f>
        <v/>
      </c>
      <c r="P283" s="96"/>
      <c r="Q283" s="97"/>
      <c r="R283" s="98"/>
      <c r="S283" s="99"/>
      <c r="T283" s="99"/>
      <c r="U283" s="99"/>
      <c r="V283" s="99"/>
      <c r="W283" s="99"/>
      <c r="X283" s="99"/>
      <c r="Y283" s="99"/>
      <c r="Z283" s="99"/>
      <c r="AA283" s="99"/>
      <c r="AB283" s="99"/>
      <c r="AC283" s="100"/>
      <c r="AD283" s="101" t="str">
        <f t="shared" si="36"/>
        <v/>
      </c>
      <c r="AE283" s="102" t="str">
        <f t="shared" si="37"/>
        <v/>
      </c>
      <c r="AF283" s="103" t="str">
        <f t="shared" si="38"/>
        <v/>
      </c>
      <c r="AG283" s="104" t="str">
        <f t="shared" si="39"/>
        <v/>
      </c>
    </row>
    <row r="284" spans="1:33" x14ac:dyDescent="0.25">
      <c r="A284" s="4">
        <f t="shared" si="40"/>
        <v>281</v>
      </c>
      <c r="B284" s="30" t="str">
        <f t="shared" si="41"/>
        <v/>
      </c>
      <c r="C284" s="67" t="str">
        <f t="shared" si="35"/>
        <v/>
      </c>
      <c r="D284" s="105"/>
      <c r="E284" s="106"/>
      <c r="F284" s="106"/>
      <c r="G284" s="106"/>
      <c r="H284" s="107"/>
      <c r="I284" s="106"/>
      <c r="J284" s="106"/>
      <c r="K284" s="106"/>
      <c r="L284" s="106"/>
      <c r="M284" s="106"/>
      <c r="N284" s="108"/>
      <c r="O284" s="108" t="str">
        <f>IF(N284="","",IF('Event Dataset'!N284&lt;='Drop Downs and Assumptions'!$K$2,'Drop Downs and Assumptions'!$L$2,IF(AND('Event Dataset'!N284&gt;='Drop Downs and Assumptions'!$J$3,'Event Dataset'!N284&lt;='Drop Downs and Assumptions'!$K$3),'Drop Downs and Assumptions'!$L$3,IF(AND('Event Dataset'!N284&gt;='Drop Downs and Assumptions'!$J$4,'Event Dataset'!N284&lt;='Drop Downs and Assumptions'!$K$4),'Drop Downs and Assumptions'!$L$4,IF('Event Dataset'!N284&gt;='Drop Downs and Assumptions'!$J$5,'Drop Downs and Assumptions'!$L$5,"")))))</f>
        <v/>
      </c>
      <c r="P284" s="109"/>
      <c r="Q284" s="97"/>
      <c r="R284" s="110"/>
      <c r="S284" s="111"/>
      <c r="T284" s="111"/>
      <c r="U284" s="111"/>
      <c r="V284" s="111"/>
      <c r="W284" s="111"/>
      <c r="X284" s="111"/>
      <c r="Y284" s="111"/>
      <c r="Z284" s="111"/>
      <c r="AA284" s="111"/>
      <c r="AB284" s="111"/>
      <c r="AC284" s="112"/>
      <c r="AD284" s="113" t="str">
        <f t="shared" si="36"/>
        <v/>
      </c>
      <c r="AE284" s="114" t="str">
        <f t="shared" si="37"/>
        <v/>
      </c>
      <c r="AF284" s="115" t="str">
        <f t="shared" si="38"/>
        <v/>
      </c>
      <c r="AG284" s="116" t="str">
        <f t="shared" si="39"/>
        <v/>
      </c>
    </row>
    <row r="285" spans="1:33" x14ac:dyDescent="0.25">
      <c r="A285" s="16">
        <f t="shared" si="40"/>
        <v>282</v>
      </c>
      <c r="B285" s="31" t="str">
        <f t="shared" si="41"/>
        <v/>
      </c>
      <c r="C285" s="66" t="str">
        <f t="shared" si="35"/>
        <v/>
      </c>
      <c r="D285" s="92"/>
      <c r="E285" s="93"/>
      <c r="F285" s="93"/>
      <c r="G285" s="93"/>
      <c r="H285" s="94"/>
      <c r="I285" s="93"/>
      <c r="J285" s="93"/>
      <c r="K285" s="93"/>
      <c r="L285" s="93"/>
      <c r="M285" s="93"/>
      <c r="N285" s="95"/>
      <c r="O285" s="95" t="str">
        <f>IF(N285="","",IF('Event Dataset'!N285&lt;='Drop Downs and Assumptions'!$K$2,'Drop Downs and Assumptions'!$L$2,IF(AND('Event Dataset'!N285&gt;='Drop Downs and Assumptions'!$J$3,'Event Dataset'!N285&lt;='Drop Downs and Assumptions'!$K$3),'Drop Downs and Assumptions'!$L$3,IF(AND('Event Dataset'!N285&gt;='Drop Downs and Assumptions'!$J$4,'Event Dataset'!N285&lt;='Drop Downs and Assumptions'!$K$4),'Drop Downs and Assumptions'!$L$4,IF('Event Dataset'!N285&gt;='Drop Downs and Assumptions'!$J$5,'Drop Downs and Assumptions'!$L$5,"")))))</f>
        <v/>
      </c>
      <c r="P285" s="96"/>
      <c r="Q285" s="97"/>
      <c r="R285" s="98"/>
      <c r="S285" s="99"/>
      <c r="T285" s="99"/>
      <c r="U285" s="99"/>
      <c r="V285" s="99"/>
      <c r="W285" s="99"/>
      <c r="X285" s="99"/>
      <c r="Y285" s="99"/>
      <c r="Z285" s="99"/>
      <c r="AA285" s="99"/>
      <c r="AB285" s="99"/>
      <c r="AC285" s="100"/>
      <c r="AD285" s="101" t="str">
        <f t="shared" si="36"/>
        <v/>
      </c>
      <c r="AE285" s="102" t="str">
        <f t="shared" si="37"/>
        <v/>
      </c>
      <c r="AF285" s="103" t="str">
        <f t="shared" si="38"/>
        <v/>
      </c>
      <c r="AG285" s="104" t="str">
        <f t="shared" si="39"/>
        <v/>
      </c>
    </row>
    <row r="286" spans="1:33" x14ac:dyDescent="0.25">
      <c r="A286" s="4">
        <f t="shared" si="40"/>
        <v>283</v>
      </c>
      <c r="B286" s="30" t="str">
        <f t="shared" si="41"/>
        <v/>
      </c>
      <c r="C286" s="67" t="str">
        <f t="shared" si="35"/>
        <v/>
      </c>
      <c r="D286" s="105"/>
      <c r="E286" s="106"/>
      <c r="F286" s="106"/>
      <c r="G286" s="106"/>
      <c r="H286" s="107"/>
      <c r="I286" s="106"/>
      <c r="J286" s="106"/>
      <c r="K286" s="106"/>
      <c r="L286" s="106"/>
      <c r="M286" s="106"/>
      <c r="N286" s="108"/>
      <c r="O286" s="108" t="str">
        <f>IF(N286="","",IF('Event Dataset'!N286&lt;='Drop Downs and Assumptions'!$K$2,'Drop Downs and Assumptions'!$L$2,IF(AND('Event Dataset'!N286&gt;='Drop Downs and Assumptions'!$J$3,'Event Dataset'!N286&lt;='Drop Downs and Assumptions'!$K$3),'Drop Downs and Assumptions'!$L$3,IF(AND('Event Dataset'!N286&gt;='Drop Downs and Assumptions'!$J$4,'Event Dataset'!N286&lt;='Drop Downs and Assumptions'!$K$4),'Drop Downs and Assumptions'!$L$4,IF('Event Dataset'!N286&gt;='Drop Downs and Assumptions'!$J$5,'Drop Downs and Assumptions'!$L$5,"")))))</f>
        <v/>
      </c>
      <c r="P286" s="109"/>
      <c r="Q286" s="97"/>
      <c r="R286" s="110"/>
      <c r="S286" s="111"/>
      <c r="T286" s="111"/>
      <c r="U286" s="111"/>
      <c r="V286" s="111"/>
      <c r="W286" s="111"/>
      <c r="X286" s="111"/>
      <c r="Y286" s="111"/>
      <c r="Z286" s="111"/>
      <c r="AA286" s="111"/>
      <c r="AB286" s="111"/>
      <c r="AC286" s="112"/>
      <c r="AD286" s="113" t="str">
        <f t="shared" si="36"/>
        <v/>
      </c>
      <c r="AE286" s="114" t="str">
        <f t="shared" si="37"/>
        <v/>
      </c>
      <c r="AF286" s="115" t="str">
        <f t="shared" si="38"/>
        <v/>
      </c>
      <c r="AG286" s="116" t="str">
        <f t="shared" si="39"/>
        <v/>
      </c>
    </row>
    <row r="287" spans="1:33" x14ac:dyDescent="0.25">
      <c r="A287" s="16">
        <f t="shared" si="40"/>
        <v>284</v>
      </c>
      <c r="B287" s="31" t="str">
        <f t="shared" si="41"/>
        <v/>
      </c>
      <c r="C287" s="66" t="str">
        <f t="shared" si="35"/>
        <v/>
      </c>
      <c r="D287" s="92"/>
      <c r="E287" s="93"/>
      <c r="F287" s="93"/>
      <c r="G287" s="93"/>
      <c r="H287" s="94"/>
      <c r="I287" s="93"/>
      <c r="J287" s="93"/>
      <c r="K287" s="93"/>
      <c r="L287" s="93"/>
      <c r="M287" s="93"/>
      <c r="N287" s="95"/>
      <c r="O287" s="95" t="str">
        <f>IF(N287="","",IF('Event Dataset'!N287&lt;='Drop Downs and Assumptions'!$K$2,'Drop Downs and Assumptions'!$L$2,IF(AND('Event Dataset'!N287&gt;='Drop Downs and Assumptions'!$J$3,'Event Dataset'!N287&lt;='Drop Downs and Assumptions'!$K$3),'Drop Downs and Assumptions'!$L$3,IF(AND('Event Dataset'!N287&gt;='Drop Downs and Assumptions'!$J$4,'Event Dataset'!N287&lt;='Drop Downs and Assumptions'!$K$4),'Drop Downs and Assumptions'!$L$4,IF('Event Dataset'!N287&gt;='Drop Downs and Assumptions'!$J$5,'Drop Downs and Assumptions'!$L$5,"")))))</f>
        <v/>
      </c>
      <c r="P287" s="96"/>
      <c r="Q287" s="97"/>
      <c r="R287" s="98"/>
      <c r="S287" s="99"/>
      <c r="T287" s="99"/>
      <c r="U287" s="99"/>
      <c r="V287" s="99"/>
      <c r="W287" s="99"/>
      <c r="X287" s="99"/>
      <c r="Y287" s="99"/>
      <c r="Z287" s="99"/>
      <c r="AA287" s="99"/>
      <c r="AB287" s="99"/>
      <c r="AC287" s="100"/>
      <c r="AD287" s="101" t="str">
        <f t="shared" si="36"/>
        <v/>
      </c>
      <c r="AE287" s="102" t="str">
        <f t="shared" si="37"/>
        <v/>
      </c>
      <c r="AF287" s="103" t="str">
        <f t="shared" si="38"/>
        <v/>
      </c>
      <c r="AG287" s="104" t="str">
        <f t="shared" si="39"/>
        <v/>
      </c>
    </row>
    <row r="288" spans="1:33" x14ac:dyDescent="0.25">
      <c r="A288" s="4">
        <f t="shared" si="40"/>
        <v>285</v>
      </c>
      <c r="B288" s="30" t="str">
        <f t="shared" si="41"/>
        <v/>
      </c>
      <c r="C288" s="67" t="str">
        <f t="shared" si="35"/>
        <v/>
      </c>
      <c r="D288" s="105"/>
      <c r="E288" s="106"/>
      <c r="F288" s="106"/>
      <c r="G288" s="106"/>
      <c r="H288" s="107"/>
      <c r="I288" s="106"/>
      <c r="J288" s="106"/>
      <c r="K288" s="106"/>
      <c r="L288" s="106"/>
      <c r="M288" s="106"/>
      <c r="N288" s="108"/>
      <c r="O288" s="108" t="str">
        <f>IF(N288="","",IF('Event Dataset'!N288&lt;='Drop Downs and Assumptions'!$K$2,'Drop Downs and Assumptions'!$L$2,IF(AND('Event Dataset'!N288&gt;='Drop Downs and Assumptions'!$J$3,'Event Dataset'!N288&lt;='Drop Downs and Assumptions'!$K$3),'Drop Downs and Assumptions'!$L$3,IF(AND('Event Dataset'!N288&gt;='Drop Downs and Assumptions'!$J$4,'Event Dataset'!N288&lt;='Drop Downs and Assumptions'!$K$4),'Drop Downs and Assumptions'!$L$4,IF('Event Dataset'!N288&gt;='Drop Downs and Assumptions'!$J$5,'Drop Downs and Assumptions'!$L$5,"")))))</f>
        <v/>
      </c>
      <c r="P288" s="109"/>
      <c r="Q288" s="97"/>
      <c r="R288" s="110"/>
      <c r="S288" s="111"/>
      <c r="T288" s="111"/>
      <c r="U288" s="111"/>
      <c r="V288" s="111"/>
      <c r="W288" s="111"/>
      <c r="X288" s="111"/>
      <c r="Y288" s="111"/>
      <c r="Z288" s="111"/>
      <c r="AA288" s="111"/>
      <c r="AB288" s="111"/>
      <c r="AC288" s="112"/>
      <c r="AD288" s="113" t="str">
        <f t="shared" si="36"/>
        <v/>
      </c>
      <c r="AE288" s="114" t="str">
        <f t="shared" si="37"/>
        <v/>
      </c>
      <c r="AF288" s="115" t="str">
        <f t="shared" si="38"/>
        <v/>
      </c>
      <c r="AG288" s="116" t="str">
        <f t="shared" si="39"/>
        <v/>
      </c>
    </row>
    <row r="289" spans="1:33" x14ac:dyDescent="0.25">
      <c r="A289" s="16">
        <f t="shared" si="40"/>
        <v>286</v>
      </c>
      <c r="B289" s="31" t="str">
        <f t="shared" si="41"/>
        <v/>
      </c>
      <c r="C289" s="66" t="str">
        <f t="shared" si="35"/>
        <v/>
      </c>
      <c r="D289" s="92"/>
      <c r="E289" s="93"/>
      <c r="F289" s="93"/>
      <c r="G289" s="93"/>
      <c r="H289" s="94"/>
      <c r="I289" s="93"/>
      <c r="J289" s="93"/>
      <c r="K289" s="93"/>
      <c r="L289" s="93"/>
      <c r="M289" s="93"/>
      <c r="N289" s="95"/>
      <c r="O289" s="95" t="str">
        <f>IF(N289="","",IF('Event Dataset'!N289&lt;='Drop Downs and Assumptions'!$K$2,'Drop Downs and Assumptions'!$L$2,IF(AND('Event Dataset'!N289&gt;='Drop Downs and Assumptions'!$J$3,'Event Dataset'!N289&lt;='Drop Downs and Assumptions'!$K$3),'Drop Downs and Assumptions'!$L$3,IF(AND('Event Dataset'!N289&gt;='Drop Downs and Assumptions'!$J$4,'Event Dataset'!N289&lt;='Drop Downs and Assumptions'!$K$4),'Drop Downs and Assumptions'!$L$4,IF('Event Dataset'!N289&gt;='Drop Downs and Assumptions'!$J$5,'Drop Downs and Assumptions'!$L$5,"")))))</f>
        <v/>
      </c>
      <c r="P289" s="96"/>
      <c r="Q289" s="97"/>
      <c r="R289" s="98"/>
      <c r="S289" s="99"/>
      <c r="T289" s="99"/>
      <c r="U289" s="99"/>
      <c r="V289" s="99"/>
      <c r="W289" s="99"/>
      <c r="X289" s="99"/>
      <c r="Y289" s="99"/>
      <c r="Z289" s="99"/>
      <c r="AA289" s="99"/>
      <c r="AB289" s="99"/>
      <c r="AC289" s="100"/>
      <c r="AD289" s="101" t="str">
        <f t="shared" si="36"/>
        <v/>
      </c>
      <c r="AE289" s="102" t="str">
        <f t="shared" si="37"/>
        <v/>
      </c>
      <c r="AF289" s="103" t="str">
        <f t="shared" si="38"/>
        <v/>
      </c>
      <c r="AG289" s="104" t="str">
        <f t="shared" si="39"/>
        <v/>
      </c>
    </row>
    <row r="290" spans="1:33" x14ac:dyDescent="0.25">
      <c r="A290" s="4">
        <f t="shared" si="40"/>
        <v>287</v>
      </c>
      <c r="B290" s="30" t="str">
        <f t="shared" si="41"/>
        <v/>
      </c>
      <c r="C290" s="67" t="str">
        <f t="shared" si="35"/>
        <v/>
      </c>
      <c r="D290" s="105"/>
      <c r="E290" s="106"/>
      <c r="F290" s="106"/>
      <c r="G290" s="106"/>
      <c r="H290" s="107"/>
      <c r="I290" s="106"/>
      <c r="J290" s="106"/>
      <c r="K290" s="106"/>
      <c r="L290" s="106"/>
      <c r="M290" s="106"/>
      <c r="N290" s="108"/>
      <c r="O290" s="108" t="str">
        <f>IF(N290="","",IF('Event Dataset'!N290&lt;='Drop Downs and Assumptions'!$K$2,'Drop Downs and Assumptions'!$L$2,IF(AND('Event Dataset'!N290&gt;='Drop Downs and Assumptions'!$J$3,'Event Dataset'!N290&lt;='Drop Downs and Assumptions'!$K$3),'Drop Downs and Assumptions'!$L$3,IF(AND('Event Dataset'!N290&gt;='Drop Downs and Assumptions'!$J$4,'Event Dataset'!N290&lt;='Drop Downs and Assumptions'!$K$4),'Drop Downs and Assumptions'!$L$4,IF('Event Dataset'!N290&gt;='Drop Downs and Assumptions'!$J$5,'Drop Downs and Assumptions'!$L$5,"")))))</f>
        <v/>
      </c>
      <c r="P290" s="109"/>
      <c r="Q290" s="97"/>
      <c r="R290" s="110"/>
      <c r="S290" s="111"/>
      <c r="T290" s="111"/>
      <c r="U290" s="111"/>
      <c r="V290" s="111"/>
      <c r="W290" s="111"/>
      <c r="X290" s="111"/>
      <c r="Y290" s="111"/>
      <c r="Z290" s="111"/>
      <c r="AA290" s="111"/>
      <c r="AB290" s="111"/>
      <c r="AC290" s="112"/>
      <c r="AD290" s="113" t="str">
        <f t="shared" si="36"/>
        <v/>
      </c>
      <c r="AE290" s="114" t="str">
        <f t="shared" si="37"/>
        <v/>
      </c>
      <c r="AF290" s="115" t="str">
        <f t="shared" si="38"/>
        <v/>
      </c>
      <c r="AG290" s="116" t="str">
        <f t="shared" si="39"/>
        <v/>
      </c>
    </row>
    <row r="291" spans="1:33" x14ac:dyDescent="0.25">
      <c r="A291" s="16">
        <f t="shared" si="40"/>
        <v>288</v>
      </c>
      <c r="B291" s="31" t="str">
        <f t="shared" si="41"/>
        <v/>
      </c>
      <c r="C291" s="66" t="str">
        <f t="shared" si="35"/>
        <v/>
      </c>
      <c r="D291" s="92"/>
      <c r="E291" s="93"/>
      <c r="F291" s="93"/>
      <c r="G291" s="93"/>
      <c r="H291" s="94"/>
      <c r="I291" s="93"/>
      <c r="J291" s="93"/>
      <c r="K291" s="93"/>
      <c r="L291" s="93"/>
      <c r="M291" s="93"/>
      <c r="N291" s="95"/>
      <c r="O291" s="95" t="str">
        <f>IF(N291="","",IF('Event Dataset'!N291&lt;='Drop Downs and Assumptions'!$K$2,'Drop Downs and Assumptions'!$L$2,IF(AND('Event Dataset'!N291&gt;='Drop Downs and Assumptions'!$J$3,'Event Dataset'!N291&lt;='Drop Downs and Assumptions'!$K$3),'Drop Downs and Assumptions'!$L$3,IF(AND('Event Dataset'!N291&gt;='Drop Downs and Assumptions'!$J$4,'Event Dataset'!N291&lt;='Drop Downs and Assumptions'!$K$4),'Drop Downs and Assumptions'!$L$4,IF('Event Dataset'!N291&gt;='Drop Downs and Assumptions'!$J$5,'Drop Downs and Assumptions'!$L$5,"")))))</f>
        <v/>
      </c>
      <c r="P291" s="96"/>
      <c r="Q291" s="97"/>
      <c r="R291" s="98"/>
      <c r="S291" s="99"/>
      <c r="T291" s="99"/>
      <c r="U291" s="99"/>
      <c r="V291" s="99"/>
      <c r="W291" s="99"/>
      <c r="X291" s="99"/>
      <c r="Y291" s="99"/>
      <c r="Z291" s="99"/>
      <c r="AA291" s="99"/>
      <c r="AB291" s="99"/>
      <c r="AC291" s="100"/>
      <c r="AD291" s="101" t="str">
        <f t="shared" si="36"/>
        <v/>
      </c>
      <c r="AE291" s="102" t="str">
        <f t="shared" si="37"/>
        <v/>
      </c>
      <c r="AF291" s="103" t="str">
        <f t="shared" si="38"/>
        <v/>
      </c>
      <c r="AG291" s="104" t="str">
        <f t="shared" si="39"/>
        <v/>
      </c>
    </row>
    <row r="292" spans="1:33" x14ac:dyDescent="0.25">
      <c r="A292" s="4">
        <f t="shared" si="40"/>
        <v>289</v>
      </c>
      <c r="B292" s="30" t="str">
        <f t="shared" si="41"/>
        <v/>
      </c>
      <c r="C292" s="67" t="str">
        <f t="shared" si="35"/>
        <v/>
      </c>
      <c r="D292" s="105"/>
      <c r="E292" s="106"/>
      <c r="F292" s="106"/>
      <c r="G292" s="106"/>
      <c r="H292" s="107"/>
      <c r="I292" s="106"/>
      <c r="J292" s="106"/>
      <c r="K292" s="106"/>
      <c r="L292" s="106"/>
      <c r="M292" s="106"/>
      <c r="N292" s="108"/>
      <c r="O292" s="108" t="str">
        <f>IF(N292="","",IF('Event Dataset'!N292&lt;='Drop Downs and Assumptions'!$K$2,'Drop Downs and Assumptions'!$L$2,IF(AND('Event Dataset'!N292&gt;='Drop Downs and Assumptions'!$J$3,'Event Dataset'!N292&lt;='Drop Downs and Assumptions'!$K$3),'Drop Downs and Assumptions'!$L$3,IF(AND('Event Dataset'!N292&gt;='Drop Downs and Assumptions'!$J$4,'Event Dataset'!N292&lt;='Drop Downs and Assumptions'!$K$4),'Drop Downs and Assumptions'!$L$4,IF('Event Dataset'!N292&gt;='Drop Downs and Assumptions'!$J$5,'Drop Downs and Assumptions'!$L$5,"")))))</f>
        <v/>
      </c>
      <c r="P292" s="109"/>
      <c r="Q292" s="97"/>
      <c r="R292" s="110"/>
      <c r="S292" s="111"/>
      <c r="T292" s="111"/>
      <c r="U292" s="111"/>
      <c r="V292" s="111"/>
      <c r="W292" s="111"/>
      <c r="X292" s="111"/>
      <c r="Y292" s="111"/>
      <c r="Z292" s="111"/>
      <c r="AA292" s="111"/>
      <c r="AB292" s="111"/>
      <c r="AC292" s="112"/>
      <c r="AD292" s="113" t="str">
        <f t="shared" si="36"/>
        <v/>
      </c>
      <c r="AE292" s="114" t="str">
        <f t="shared" si="37"/>
        <v/>
      </c>
      <c r="AF292" s="115" t="str">
        <f t="shared" si="38"/>
        <v/>
      </c>
      <c r="AG292" s="116" t="str">
        <f t="shared" si="39"/>
        <v/>
      </c>
    </row>
    <row r="293" spans="1:33" x14ac:dyDescent="0.25">
      <c r="A293" s="16">
        <f t="shared" si="40"/>
        <v>290</v>
      </c>
      <c r="B293" s="31" t="str">
        <f t="shared" si="41"/>
        <v/>
      </c>
      <c r="C293" s="66" t="str">
        <f t="shared" si="35"/>
        <v/>
      </c>
      <c r="D293" s="92"/>
      <c r="E293" s="93"/>
      <c r="F293" s="93"/>
      <c r="G293" s="93"/>
      <c r="H293" s="94"/>
      <c r="I293" s="93"/>
      <c r="J293" s="93"/>
      <c r="K293" s="93"/>
      <c r="L293" s="93"/>
      <c r="M293" s="93"/>
      <c r="N293" s="95"/>
      <c r="O293" s="95" t="str">
        <f>IF(N293="","",IF('Event Dataset'!N293&lt;='Drop Downs and Assumptions'!$K$2,'Drop Downs and Assumptions'!$L$2,IF(AND('Event Dataset'!N293&gt;='Drop Downs and Assumptions'!$J$3,'Event Dataset'!N293&lt;='Drop Downs and Assumptions'!$K$3),'Drop Downs and Assumptions'!$L$3,IF(AND('Event Dataset'!N293&gt;='Drop Downs and Assumptions'!$J$4,'Event Dataset'!N293&lt;='Drop Downs and Assumptions'!$K$4),'Drop Downs and Assumptions'!$L$4,IF('Event Dataset'!N293&gt;='Drop Downs and Assumptions'!$J$5,'Drop Downs and Assumptions'!$L$5,"")))))</f>
        <v/>
      </c>
      <c r="P293" s="96"/>
      <c r="Q293" s="97"/>
      <c r="R293" s="98"/>
      <c r="S293" s="99"/>
      <c r="T293" s="99"/>
      <c r="U293" s="99"/>
      <c r="V293" s="99"/>
      <c r="W293" s="99"/>
      <c r="X293" s="99"/>
      <c r="Y293" s="99"/>
      <c r="Z293" s="99"/>
      <c r="AA293" s="99"/>
      <c r="AB293" s="99"/>
      <c r="AC293" s="100"/>
      <c r="AD293" s="101" t="str">
        <f t="shared" si="36"/>
        <v/>
      </c>
      <c r="AE293" s="102" t="str">
        <f t="shared" si="37"/>
        <v/>
      </c>
      <c r="AF293" s="103" t="str">
        <f t="shared" si="38"/>
        <v/>
      </c>
      <c r="AG293" s="104" t="str">
        <f t="shared" si="39"/>
        <v/>
      </c>
    </row>
    <row r="294" spans="1:33" x14ac:dyDescent="0.25">
      <c r="A294" s="4">
        <f t="shared" si="40"/>
        <v>291</v>
      </c>
      <c r="B294" s="30" t="str">
        <f t="shared" si="41"/>
        <v/>
      </c>
      <c r="C294" s="67" t="str">
        <f t="shared" si="35"/>
        <v/>
      </c>
      <c r="D294" s="105"/>
      <c r="E294" s="106"/>
      <c r="F294" s="106"/>
      <c r="G294" s="106"/>
      <c r="H294" s="107"/>
      <c r="I294" s="106"/>
      <c r="J294" s="106"/>
      <c r="K294" s="106"/>
      <c r="L294" s="106"/>
      <c r="M294" s="106"/>
      <c r="N294" s="108"/>
      <c r="O294" s="108" t="str">
        <f>IF(N294="","",IF('Event Dataset'!N294&lt;='Drop Downs and Assumptions'!$K$2,'Drop Downs and Assumptions'!$L$2,IF(AND('Event Dataset'!N294&gt;='Drop Downs and Assumptions'!$J$3,'Event Dataset'!N294&lt;='Drop Downs and Assumptions'!$K$3),'Drop Downs and Assumptions'!$L$3,IF(AND('Event Dataset'!N294&gt;='Drop Downs and Assumptions'!$J$4,'Event Dataset'!N294&lt;='Drop Downs and Assumptions'!$K$4),'Drop Downs and Assumptions'!$L$4,IF('Event Dataset'!N294&gt;='Drop Downs and Assumptions'!$J$5,'Drop Downs and Assumptions'!$L$5,"")))))</f>
        <v/>
      </c>
      <c r="P294" s="109"/>
      <c r="Q294" s="97"/>
      <c r="R294" s="110"/>
      <c r="S294" s="111"/>
      <c r="T294" s="111"/>
      <c r="U294" s="111"/>
      <c r="V294" s="111"/>
      <c r="W294" s="111"/>
      <c r="X294" s="111"/>
      <c r="Y294" s="111"/>
      <c r="Z294" s="111"/>
      <c r="AA294" s="111"/>
      <c r="AB294" s="111"/>
      <c r="AC294" s="112"/>
      <c r="AD294" s="113" t="str">
        <f t="shared" si="36"/>
        <v/>
      </c>
      <c r="AE294" s="114" t="str">
        <f t="shared" si="37"/>
        <v/>
      </c>
      <c r="AF294" s="115" t="str">
        <f t="shared" si="38"/>
        <v/>
      </c>
      <c r="AG294" s="116" t="str">
        <f t="shared" si="39"/>
        <v/>
      </c>
    </row>
    <row r="295" spans="1:33" x14ac:dyDescent="0.25">
      <c r="A295" s="16">
        <f t="shared" si="40"/>
        <v>292</v>
      </c>
      <c r="B295" s="31" t="str">
        <f t="shared" si="41"/>
        <v/>
      </c>
      <c r="C295" s="66" t="str">
        <f t="shared" si="35"/>
        <v/>
      </c>
      <c r="D295" s="92"/>
      <c r="E295" s="93"/>
      <c r="F295" s="93"/>
      <c r="G295" s="93"/>
      <c r="H295" s="94"/>
      <c r="I295" s="93"/>
      <c r="J295" s="93"/>
      <c r="K295" s="93"/>
      <c r="L295" s="93"/>
      <c r="M295" s="93"/>
      <c r="N295" s="95"/>
      <c r="O295" s="95" t="str">
        <f>IF(N295="","",IF('Event Dataset'!N295&lt;='Drop Downs and Assumptions'!$K$2,'Drop Downs and Assumptions'!$L$2,IF(AND('Event Dataset'!N295&gt;='Drop Downs and Assumptions'!$J$3,'Event Dataset'!N295&lt;='Drop Downs and Assumptions'!$K$3),'Drop Downs and Assumptions'!$L$3,IF(AND('Event Dataset'!N295&gt;='Drop Downs and Assumptions'!$J$4,'Event Dataset'!N295&lt;='Drop Downs and Assumptions'!$K$4),'Drop Downs and Assumptions'!$L$4,IF('Event Dataset'!N295&gt;='Drop Downs and Assumptions'!$J$5,'Drop Downs and Assumptions'!$L$5,"")))))</f>
        <v/>
      </c>
      <c r="P295" s="96"/>
      <c r="Q295" s="97"/>
      <c r="R295" s="98"/>
      <c r="S295" s="99"/>
      <c r="T295" s="99"/>
      <c r="U295" s="99"/>
      <c r="V295" s="99"/>
      <c r="W295" s="99"/>
      <c r="X295" s="99"/>
      <c r="Y295" s="99"/>
      <c r="Z295" s="99"/>
      <c r="AA295" s="99"/>
      <c r="AB295" s="99"/>
      <c r="AC295" s="100"/>
      <c r="AD295" s="101" t="str">
        <f t="shared" si="36"/>
        <v/>
      </c>
      <c r="AE295" s="102" t="str">
        <f t="shared" si="37"/>
        <v/>
      </c>
      <c r="AF295" s="103" t="str">
        <f t="shared" si="38"/>
        <v/>
      </c>
      <c r="AG295" s="104" t="str">
        <f t="shared" si="39"/>
        <v/>
      </c>
    </row>
    <row r="296" spans="1:33" x14ac:dyDescent="0.25">
      <c r="A296" s="4">
        <f t="shared" si="40"/>
        <v>293</v>
      </c>
      <c r="B296" s="30" t="str">
        <f t="shared" si="41"/>
        <v/>
      </c>
      <c r="C296" s="67" t="str">
        <f t="shared" si="35"/>
        <v/>
      </c>
      <c r="D296" s="105"/>
      <c r="E296" s="106"/>
      <c r="F296" s="106"/>
      <c r="G296" s="106"/>
      <c r="H296" s="107"/>
      <c r="I296" s="106"/>
      <c r="J296" s="106"/>
      <c r="K296" s="106"/>
      <c r="L296" s="106"/>
      <c r="M296" s="106"/>
      <c r="N296" s="108"/>
      <c r="O296" s="108" t="str">
        <f>IF(N296="","",IF('Event Dataset'!N296&lt;='Drop Downs and Assumptions'!$K$2,'Drop Downs and Assumptions'!$L$2,IF(AND('Event Dataset'!N296&gt;='Drop Downs and Assumptions'!$J$3,'Event Dataset'!N296&lt;='Drop Downs and Assumptions'!$K$3),'Drop Downs and Assumptions'!$L$3,IF(AND('Event Dataset'!N296&gt;='Drop Downs and Assumptions'!$J$4,'Event Dataset'!N296&lt;='Drop Downs and Assumptions'!$K$4),'Drop Downs and Assumptions'!$L$4,IF('Event Dataset'!N296&gt;='Drop Downs and Assumptions'!$J$5,'Drop Downs and Assumptions'!$L$5,"")))))</f>
        <v/>
      </c>
      <c r="P296" s="109"/>
      <c r="Q296" s="97"/>
      <c r="R296" s="110"/>
      <c r="S296" s="111"/>
      <c r="T296" s="111"/>
      <c r="U296" s="111"/>
      <c r="V296" s="111"/>
      <c r="W296" s="111"/>
      <c r="X296" s="111"/>
      <c r="Y296" s="111"/>
      <c r="Z296" s="111"/>
      <c r="AA296" s="111"/>
      <c r="AB296" s="111"/>
      <c r="AC296" s="112"/>
      <c r="AD296" s="113" t="str">
        <f t="shared" si="36"/>
        <v/>
      </c>
      <c r="AE296" s="114" t="str">
        <f t="shared" si="37"/>
        <v/>
      </c>
      <c r="AF296" s="115" t="str">
        <f t="shared" si="38"/>
        <v/>
      </c>
      <c r="AG296" s="116" t="str">
        <f t="shared" si="39"/>
        <v/>
      </c>
    </row>
    <row r="297" spans="1:33" x14ac:dyDescent="0.25">
      <c r="A297" s="16">
        <f t="shared" si="40"/>
        <v>294</v>
      </c>
      <c r="B297" s="31" t="str">
        <f t="shared" si="41"/>
        <v/>
      </c>
      <c r="C297" s="66" t="str">
        <f t="shared" si="35"/>
        <v/>
      </c>
      <c r="D297" s="92"/>
      <c r="E297" s="93"/>
      <c r="F297" s="93"/>
      <c r="G297" s="93"/>
      <c r="H297" s="94"/>
      <c r="I297" s="93"/>
      <c r="J297" s="93"/>
      <c r="K297" s="93"/>
      <c r="L297" s="93"/>
      <c r="M297" s="93"/>
      <c r="N297" s="95"/>
      <c r="O297" s="95" t="str">
        <f>IF(N297="","",IF('Event Dataset'!N297&lt;='Drop Downs and Assumptions'!$K$2,'Drop Downs and Assumptions'!$L$2,IF(AND('Event Dataset'!N297&gt;='Drop Downs and Assumptions'!$J$3,'Event Dataset'!N297&lt;='Drop Downs and Assumptions'!$K$3),'Drop Downs and Assumptions'!$L$3,IF(AND('Event Dataset'!N297&gt;='Drop Downs and Assumptions'!$J$4,'Event Dataset'!N297&lt;='Drop Downs and Assumptions'!$K$4),'Drop Downs and Assumptions'!$L$4,IF('Event Dataset'!N297&gt;='Drop Downs and Assumptions'!$J$5,'Drop Downs and Assumptions'!$L$5,"")))))</f>
        <v/>
      </c>
      <c r="P297" s="96"/>
      <c r="Q297" s="97"/>
      <c r="R297" s="98"/>
      <c r="S297" s="99"/>
      <c r="T297" s="99"/>
      <c r="U297" s="99"/>
      <c r="V297" s="99"/>
      <c r="W297" s="99"/>
      <c r="X297" s="99"/>
      <c r="Y297" s="99"/>
      <c r="Z297" s="99"/>
      <c r="AA297" s="99"/>
      <c r="AB297" s="99"/>
      <c r="AC297" s="100"/>
      <c r="AD297" s="101" t="str">
        <f t="shared" si="36"/>
        <v/>
      </c>
      <c r="AE297" s="102" t="str">
        <f t="shared" si="37"/>
        <v/>
      </c>
      <c r="AF297" s="103" t="str">
        <f t="shared" si="38"/>
        <v/>
      </c>
      <c r="AG297" s="104" t="str">
        <f t="shared" si="39"/>
        <v/>
      </c>
    </row>
    <row r="298" spans="1:33" x14ac:dyDescent="0.25">
      <c r="A298" s="4">
        <f t="shared" si="40"/>
        <v>295</v>
      </c>
      <c r="B298" s="30" t="str">
        <f t="shared" si="41"/>
        <v/>
      </c>
      <c r="C298" s="67" t="str">
        <f t="shared" si="35"/>
        <v/>
      </c>
      <c r="D298" s="105"/>
      <c r="E298" s="106"/>
      <c r="F298" s="106"/>
      <c r="G298" s="106"/>
      <c r="H298" s="107"/>
      <c r="I298" s="106"/>
      <c r="J298" s="106"/>
      <c r="K298" s="106"/>
      <c r="L298" s="106"/>
      <c r="M298" s="106"/>
      <c r="N298" s="108"/>
      <c r="O298" s="108" t="str">
        <f>IF(N298="","",IF('Event Dataset'!N298&lt;='Drop Downs and Assumptions'!$K$2,'Drop Downs and Assumptions'!$L$2,IF(AND('Event Dataset'!N298&gt;='Drop Downs and Assumptions'!$J$3,'Event Dataset'!N298&lt;='Drop Downs and Assumptions'!$K$3),'Drop Downs and Assumptions'!$L$3,IF(AND('Event Dataset'!N298&gt;='Drop Downs and Assumptions'!$J$4,'Event Dataset'!N298&lt;='Drop Downs and Assumptions'!$K$4),'Drop Downs and Assumptions'!$L$4,IF('Event Dataset'!N298&gt;='Drop Downs and Assumptions'!$J$5,'Drop Downs and Assumptions'!$L$5,"")))))</f>
        <v/>
      </c>
      <c r="P298" s="109"/>
      <c r="Q298" s="97"/>
      <c r="R298" s="110"/>
      <c r="S298" s="111"/>
      <c r="T298" s="111"/>
      <c r="U298" s="111"/>
      <c r="V298" s="111"/>
      <c r="W298" s="111"/>
      <c r="X298" s="111"/>
      <c r="Y298" s="111"/>
      <c r="Z298" s="111"/>
      <c r="AA298" s="111"/>
      <c r="AB298" s="111"/>
      <c r="AC298" s="112"/>
      <c r="AD298" s="113" t="str">
        <f t="shared" si="36"/>
        <v/>
      </c>
      <c r="AE298" s="114" t="str">
        <f t="shared" si="37"/>
        <v/>
      </c>
      <c r="AF298" s="115" t="str">
        <f t="shared" si="38"/>
        <v/>
      </c>
      <c r="AG298" s="116" t="str">
        <f t="shared" si="39"/>
        <v/>
      </c>
    </row>
    <row r="299" spans="1:33" x14ac:dyDescent="0.25">
      <c r="A299" s="16">
        <f t="shared" si="40"/>
        <v>296</v>
      </c>
      <c r="B299" s="31" t="str">
        <f t="shared" si="41"/>
        <v/>
      </c>
      <c r="C299" s="66" t="str">
        <f t="shared" si="35"/>
        <v/>
      </c>
      <c r="D299" s="92"/>
      <c r="E299" s="93"/>
      <c r="F299" s="93"/>
      <c r="G299" s="93"/>
      <c r="H299" s="94"/>
      <c r="I299" s="93"/>
      <c r="J299" s="93"/>
      <c r="K299" s="93"/>
      <c r="L299" s="93"/>
      <c r="M299" s="93"/>
      <c r="N299" s="95"/>
      <c r="O299" s="95" t="str">
        <f>IF(N299="","",IF('Event Dataset'!N299&lt;='Drop Downs and Assumptions'!$K$2,'Drop Downs and Assumptions'!$L$2,IF(AND('Event Dataset'!N299&gt;='Drop Downs and Assumptions'!$J$3,'Event Dataset'!N299&lt;='Drop Downs and Assumptions'!$K$3),'Drop Downs and Assumptions'!$L$3,IF(AND('Event Dataset'!N299&gt;='Drop Downs and Assumptions'!$J$4,'Event Dataset'!N299&lt;='Drop Downs and Assumptions'!$K$4),'Drop Downs and Assumptions'!$L$4,IF('Event Dataset'!N299&gt;='Drop Downs and Assumptions'!$J$5,'Drop Downs and Assumptions'!$L$5,"")))))</f>
        <v/>
      </c>
      <c r="P299" s="96"/>
      <c r="Q299" s="97"/>
      <c r="R299" s="98"/>
      <c r="S299" s="99"/>
      <c r="T299" s="99"/>
      <c r="U299" s="99"/>
      <c r="V299" s="99"/>
      <c r="W299" s="99"/>
      <c r="X299" s="99"/>
      <c r="Y299" s="99"/>
      <c r="Z299" s="99"/>
      <c r="AA299" s="99"/>
      <c r="AB299" s="99"/>
      <c r="AC299" s="100"/>
      <c r="AD299" s="101" t="str">
        <f t="shared" si="36"/>
        <v/>
      </c>
      <c r="AE299" s="102" t="str">
        <f t="shared" si="37"/>
        <v/>
      </c>
      <c r="AF299" s="103" t="str">
        <f t="shared" si="38"/>
        <v/>
      </c>
      <c r="AG299" s="104" t="str">
        <f t="shared" si="39"/>
        <v/>
      </c>
    </row>
    <row r="300" spans="1:33" x14ac:dyDescent="0.25">
      <c r="A300" s="4">
        <f t="shared" si="40"/>
        <v>297</v>
      </c>
      <c r="B300" s="30" t="str">
        <f t="shared" si="41"/>
        <v/>
      </c>
      <c r="C300" s="67" t="str">
        <f t="shared" si="35"/>
        <v/>
      </c>
      <c r="D300" s="105"/>
      <c r="E300" s="106"/>
      <c r="F300" s="106"/>
      <c r="G300" s="106"/>
      <c r="H300" s="107"/>
      <c r="I300" s="106"/>
      <c r="J300" s="106"/>
      <c r="K300" s="106"/>
      <c r="L300" s="106"/>
      <c r="M300" s="106"/>
      <c r="N300" s="108"/>
      <c r="O300" s="108" t="str">
        <f>IF(N300="","",IF('Event Dataset'!N300&lt;='Drop Downs and Assumptions'!$K$2,'Drop Downs and Assumptions'!$L$2,IF(AND('Event Dataset'!N300&gt;='Drop Downs and Assumptions'!$J$3,'Event Dataset'!N300&lt;='Drop Downs and Assumptions'!$K$3),'Drop Downs and Assumptions'!$L$3,IF(AND('Event Dataset'!N300&gt;='Drop Downs and Assumptions'!$J$4,'Event Dataset'!N300&lt;='Drop Downs and Assumptions'!$K$4),'Drop Downs and Assumptions'!$L$4,IF('Event Dataset'!N300&gt;='Drop Downs and Assumptions'!$J$5,'Drop Downs and Assumptions'!$L$5,"")))))</f>
        <v/>
      </c>
      <c r="P300" s="109"/>
      <c r="Q300" s="97"/>
      <c r="R300" s="110"/>
      <c r="S300" s="111"/>
      <c r="T300" s="111"/>
      <c r="U300" s="111"/>
      <c r="V300" s="111"/>
      <c r="W300" s="111"/>
      <c r="X300" s="111"/>
      <c r="Y300" s="111"/>
      <c r="Z300" s="111"/>
      <c r="AA300" s="111"/>
      <c r="AB300" s="111"/>
      <c r="AC300" s="112"/>
      <c r="AD300" s="113" t="str">
        <f t="shared" si="36"/>
        <v/>
      </c>
      <c r="AE300" s="114" t="str">
        <f t="shared" si="37"/>
        <v/>
      </c>
      <c r="AF300" s="115" t="str">
        <f t="shared" si="38"/>
        <v/>
      </c>
      <c r="AG300" s="116" t="str">
        <f t="shared" si="39"/>
        <v/>
      </c>
    </row>
    <row r="301" spans="1:33" x14ac:dyDescent="0.25">
      <c r="A301" s="16">
        <f t="shared" si="40"/>
        <v>298</v>
      </c>
      <c r="B301" s="31" t="str">
        <f t="shared" si="41"/>
        <v/>
      </c>
      <c r="C301" s="66" t="str">
        <f t="shared" si="35"/>
        <v/>
      </c>
      <c r="D301" s="92"/>
      <c r="E301" s="93"/>
      <c r="F301" s="93"/>
      <c r="G301" s="93"/>
      <c r="H301" s="94"/>
      <c r="I301" s="93"/>
      <c r="J301" s="93"/>
      <c r="K301" s="93"/>
      <c r="L301" s="93"/>
      <c r="M301" s="93"/>
      <c r="N301" s="95"/>
      <c r="O301" s="95" t="str">
        <f>IF(N301="","",IF('Event Dataset'!N301&lt;='Drop Downs and Assumptions'!$K$2,'Drop Downs and Assumptions'!$L$2,IF(AND('Event Dataset'!N301&gt;='Drop Downs and Assumptions'!$J$3,'Event Dataset'!N301&lt;='Drop Downs and Assumptions'!$K$3),'Drop Downs and Assumptions'!$L$3,IF(AND('Event Dataset'!N301&gt;='Drop Downs and Assumptions'!$J$4,'Event Dataset'!N301&lt;='Drop Downs and Assumptions'!$K$4),'Drop Downs and Assumptions'!$L$4,IF('Event Dataset'!N301&gt;='Drop Downs and Assumptions'!$J$5,'Drop Downs and Assumptions'!$L$5,"")))))</f>
        <v/>
      </c>
      <c r="P301" s="96"/>
      <c r="Q301" s="97"/>
      <c r="R301" s="98"/>
      <c r="S301" s="99"/>
      <c r="T301" s="99"/>
      <c r="U301" s="99"/>
      <c r="V301" s="99"/>
      <c r="W301" s="99"/>
      <c r="X301" s="99"/>
      <c r="Y301" s="99"/>
      <c r="Z301" s="99"/>
      <c r="AA301" s="99"/>
      <c r="AB301" s="99"/>
      <c r="AC301" s="100"/>
      <c r="AD301" s="101" t="str">
        <f t="shared" si="36"/>
        <v/>
      </c>
      <c r="AE301" s="102" t="str">
        <f t="shared" si="37"/>
        <v/>
      </c>
      <c r="AF301" s="103" t="str">
        <f t="shared" si="38"/>
        <v/>
      </c>
      <c r="AG301" s="104" t="str">
        <f t="shared" si="39"/>
        <v/>
      </c>
    </row>
    <row r="302" spans="1:33" x14ac:dyDescent="0.25">
      <c r="A302" s="4">
        <f t="shared" si="40"/>
        <v>299</v>
      </c>
      <c r="B302" s="30" t="str">
        <f t="shared" si="41"/>
        <v/>
      </c>
      <c r="C302" s="67" t="str">
        <f t="shared" si="35"/>
        <v/>
      </c>
      <c r="D302" s="105"/>
      <c r="E302" s="106"/>
      <c r="F302" s="106"/>
      <c r="G302" s="106"/>
      <c r="H302" s="107"/>
      <c r="I302" s="106"/>
      <c r="J302" s="106"/>
      <c r="K302" s="106"/>
      <c r="L302" s="106"/>
      <c r="M302" s="106"/>
      <c r="N302" s="108"/>
      <c r="O302" s="108" t="str">
        <f>IF(N302="","",IF('Event Dataset'!N302&lt;='Drop Downs and Assumptions'!$K$2,'Drop Downs and Assumptions'!$L$2,IF(AND('Event Dataset'!N302&gt;='Drop Downs and Assumptions'!$J$3,'Event Dataset'!N302&lt;='Drop Downs and Assumptions'!$K$3),'Drop Downs and Assumptions'!$L$3,IF(AND('Event Dataset'!N302&gt;='Drop Downs and Assumptions'!$J$4,'Event Dataset'!N302&lt;='Drop Downs and Assumptions'!$K$4),'Drop Downs and Assumptions'!$L$4,IF('Event Dataset'!N302&gt;='Drop Downs and Assumptions'!$J$5,'Drop Downs and Assumptions'!$L$5,"")))))</f>
        <v/>
      </c>
      <c r="P302" s="109"/>
      <c r="Q302" s="97"/>
      <c r="R302" s="110"/>
      <c r="S302" s="111"/>
      <c r="T302" s="111"/>
      <c r="U302" s="111"/>
      <c r="V302" s="111"/>
      <c r="W302" s="111"/>
      <c r="X302" s="111"/>
      <c r="Y302" s="111"/>
      <c r="Z302" s="111"/>
      <c r="AA302" s="111"/>
      <c r="AB302" s="111"/>
      <c r="AC302" s="112"/>
      <c r="AD302" s="113" t="str">
        <f t="shared" si="36"/>
        <v/>
      </c>
      <c r="AE302" s="114" t="str">
        <f t="shared" si="37"/>
        <v/>
      </c>
      <c r="AF302" s="115" t="str">
        <f t="shared" si="38"/>
        <v/>
      </c>
      <c r="AG302" s="116" t="str">
        <f t="shared" si="39"/>
        <v/>
      </c>
    </row>
    <row r="303" spans="1:33" x14ac:dyDescent="0.25">
      <c r="A303" s="16">
        <f t="shared" si="40"/>
        <v>300</v>
      </c>
      <c r="B303" s="31" t="str">
        <f t="shared" si="41"/>
        <v/>
      </c>
      <c r="C303" s="66" t="str">
        <f t="shared" si="35"/>
        <v/>
      </c>
      <c r="D303" s="92"/>
      <c r="E303" s="93"/>
      <c r="F303" s="93"/>
      <c r="G303" s="93"/>
      <c r="H303" s="94"/>
      <c r="I303" s="93"/>
      <c r="J303" s="93"/>
      <c r="K303" s="93"/>
      <c r="L303" s="93"/>
      <c r="M303" s="93"/>
      <c r="N303" s="95"/>
      <c r="O303" s="95" t="str">
        <f>IF(N303="","",IF('Event Dataset'!N303&lt;='Drop Downs and Assumptions'!$K$2,'Drop Downs and Assumptions'!$L$2,IF(AND('Event Dataset'!N303&gt;='Drop Downs and Assumptions'!$J$3,'Event Dataset'!N303&lt;='Drop Downs and Assumptions'!$K$3),'Drop Downs and Assumptions'!$L$3,IF(AND('Event Dataset'!N303&gt;='Drop Downs and Assumptions'!$J$4,'Event Dataset'!N303&lt;='Drop Downs and Assumptions'!$K$4),'Drop Downs and Assumptions'!$L$4,IF('Event Dataset'!N303&gt;='Drop Downs and Assumptions'!$J$5,'Drop Downs and Assumptions'!$L$5,"")))))</f>
        <v/>
      </c>
      <c r="P303" s="96"/>
      <c r="Q303" s="97"/>
      <c r="R303" s="98"/>
      <c r="S303" s="99"/>
      <c r="T303" s="99"/>
      <c r="U303" s="99"/>
      <c r="V303" s="99"/>
      <c r="W303" s="99"/>
      <c r="X303" s="99"/>
      <c r="Y303" s="99"/>
      <c r="Z303" s="99"/>
      <c r="AA303" s="99"/>
      <c r="AB303" s="99"/>
      <c r="AC303" s="100"/>
      <c r="AD303" s="101" t="str">
        <f t="shared" si="36"/>
        <v/>
      </c>
      <c r="AE303" s="102" t="str">
        <f t="shared" si="37"/>
        <v/>
      </c>
      <c r="AF303" s="103" t="str">
        <f t="shared" si="38"/>
        <v/>
      </c>
      <c r="AG303" s="104" t="str">
        <f t="shared" si="39"/>
        <v/>
      </c>
    </row>
    <row r="304" spans="1:33" x14ac:dyDescent="0.25">
      <c r="A304" s="4">
        <f t="shared" si="40"/>
        <v>301</v>
      </c>
      <c r="B304" s="30" t="str">
        <f t="shared" si="41"/>
        <v/>
      </c>
      <c r="C304" s="67" t="str">
        <f t="shared" ref="C304:C367" si="42">IFERROR(RANK(AG304,$AG$4:$AG$470,1),"")</f>
        <v/>
      </c>
      <c r="D304" s="105"/>
      <c r="E304" s="106"/>
      <c r="F304" s="106"/>
      <c r="G304" s="106"/>
      <c r="H304" s="107"/>
      <c r="I304" s="106"/>
      <c r="J304" s="106"/>
      <c r="K304" s="106"/>
      <c r="L304" s="106"/>
      <c r="M304" s="106"/>
      <c r="N304" s="108"/>
      <c r="O304" s="108" t="str">
        <f>IF(N304="","",IF('Event Dataset'!N304&lt;='Drop Downs and Assumptions'!$K$2,'Drop Downs and Assumptions'!$L$2,IF(AND('Event Dataset'!N304&gt;='Drop Downs and Assumptions'!$J$3,'Event Dataset'!N304&lt;='Drop Downs and Assumptions'!$K$3),'Drop Downs and Assumptions'!$L$3,IF(AND('Event Dataset'!N304&gt;='Drop Downs and Assumptions'!$J$4,'Event Dataset'!N304&lt;='Drop Downs and Assumptions'!$K$4),'Drop Downs and Assumptions'!$L$4,IF('Event Dataset'!N304&gt;='Drop Downs and Assumptions'!$J$5,'Drop Downs and Assumptions'!$L$5,"")))))</f>
        <v/>
      </c>
      <c r="P304" s="109"/>
      <c r="Q304" s="97"/>
      <c r="R304" s="110"/>
      <c r="S304" s="111"/>
      <c r="T304" s="111"/>
      <c r="U304" s="111"/>
      <c r="V304" s="111"/>
      <c r="W304" s="111"/>
      <c r="X304" s="111"/>
      <c r="Y304" s="111"/>
      <c r="Z304" s="111"/>
      <c r="AA304" s="111"/>
      <c r="AB304" s="111"/>
      <c r="AC304" s="112"/>
      <c r="AD304" s="113" t="str">
        <f t="shared" ref="AD304:AD367" si="43">IF(SUM(R304:AC304)=0,"",SUM(R304:AC304))</f>
        <v/>
      </c>
      <c r="AE304" s="114" t="str">
        <f t="shared" ref="AE304:AE367" si="44">IFERROR((SUMIF($R$3:$AC$3,"Recycling",$R304:$AC304)+SUMIF($R$3:$AC$3,"Reuse",$R304:$AC304)+SUMIF($R$3:$AC$3,"Alternative Fuels",$R304:$AC304))/AD304,"")</f>
        <v/>
      </c>
      <c r="AF304" s="115" t="str">
        <f t="shared" ref="AF304:AF367" si="45">IFERROR((SUMIF($R$3:$AC$3,"Recycling",$R304:$AC304))/AD304,"")</f>
        <v/>
      </c>
      <c r="AG304" s="116" t="str">
        <f t="shared" si="39"/>
        <v/>
      </c>
    </row>
    <row r="305" spans="1:33" x14ac:dyDescent="0.25">
      <c r="A305" s="16">
        <f t="shared" si="40"/>
        <v>302</v>
      </c>
      <c r="B305" s="31" t="str">
        <f t="shared" si="41"/>
        <v/>
      </c>
      <c r="C305" s="66" t="str">
        <f t="shared" si="42"/>
        <v/>
      </c>
      <c r="D305" s="92"/>
      <c r="E305" s="93"/>
      <c r="F305" s="93"/>
      <c r="G305" s="93"/>
      <c r="H305" s="94"/>
      <c r="I305" s="93"/>
      <c r="J305" s="93"/>
      <c r="K305" s="93"/>
      <c r="L305" s="93"/>
      <c r="M305" s="93"/>
      <c r="N305" s="95"/>
      <c r="O305" s="95" t="str">
        <f>IF(N305="","",IF('Event Dataset'!N305&lt;='Drop Downs and Assumptions'!$K$2,'Drop Downs and Assumptions'!$L$2,IF(AND('Event Dataset'!N305&gt;='Drop Downs and Assumptions'!$J$3,'Event Dataset'!N305&lt;='Drop Downs and Assumptions'!$K$3),'Drop Downs and Assumptions'!$L$3,IF(AND('Event Dataset'!N305&gt;='Drop Downs and Assumptions'!$J$4,'Event Dataset'!N305&lt;='Drop Downs and Assumptions'!$K$4),'Drop Downs and Assumptions'!$L$4,IF('Event Dataset'!N305&gt;='Drop Downs and Assumptions'!$J$5,'Drop Downs and Assumptions'!$L$5,"")))))</f>
        <v/>
      </c>
      <c r="P305" s="96"/>
      <c r="Q305" s="97"/>
      <c r="R305" s="98"/>
      <c r="S305" s="99"/>
      <c r="T305" s="99"/>
      <c r="U305" s="99"/>
      <c r="V305" s="99"/>
      <c r="W305" s="99"/>
      <c r="X305" s="99"/>
      <c r="Y305" s="99"/>
      <c r="Z305" s="99"/>
      <c r="AA305" s="99"/>
      <c r="AB305" s="99"/>
      <c r="AC305" s="100"/>
      <c r="AD305" s="101" t="str">
        <f t="shared" si="43"/>
        <v/>
      </c>
      <c r="AE305" s="102" t="str">
        <f t="shared" si="44"/>
        <v/>
      </c>
      <c r="AF305" s="103" t="str">
        <f t="shared" si="45"/>
        <v/>
      </c>
      <c r="AG305" s="104" t="str">
        <f t="shared" si="39"/>
        <v/>
      </c>
    </row>
    <row r="306" spans="1:33" x14ac:dyDescent="0.25">
      <c r="A306" s="4">
        <f t="shared" si="40"/>
        <v>303</v>
      </c>
      <c r="B306" s="30" t="str">
        <f t="shared" si="41"/>
        <v/>
      </c>
      <c r="C306" s="67" t="str">
        <f t="shared" si="42"/>
        <v/>
      </c>
      <c r="D306" s="105"/>
      <c r="E306" s="106"/>
      <c r="F306" s="106"/>
      <c r="G306" s="106"/>
      <c r="H306" s="107"/>
      <c r="I306" s="106"/>
      <c r="J306" s="106"/>
      <c r="K306" s="106"/>
      <c r="L306" s="106"/>
      <c r="M306" s="106"/>
      <c r="N306" s="108"/>
      <c r="O306" s="108" t="str">
        <f>IF(N306="","",IF('Event Dataset'!N306&lt;='Drop Downs and Assumptions'!$K$2,'Drop Downs and Assumptions'!$L$2,IF(AND('Event Dataset'!N306&gt;='Drop Downs and Assumptions'!$J$3,'Event Dataset'!N306&lt;='Drop Downs and Assumptions'!$K$3),'Drop Downs and Assumptions'!$L$3,IF(AND('Event Dataset'!N306&gt;='Drop Downs and Assumptions'!$J$4,'Event Dataset'!N306&lt;='Drop Downs and Assumptions'!$K$4),'Drop Downs and Assumptions'!$L$4,IF('Event Dataset'!N306&gt;='Drop Downs and Assumptions'!$J$5,'Drop Downs and Assumptions'!$L$5,"")))))</f>
        <v/>
      </c>
      <c r="P306" s="109"/>
      <c r="Q306" s="97"/>
      <c r="R306" s="110"/>
      <c r="S306" s="111"/>
      <c r="T306" s="111"/>
      <c r="U306" s="111"/>
      <c r="V306" s="111"/>
      <c r="W306" s="111"/>
      <c r="X306" s="111"/>
      <c r="Y306" s="111"/>
      <c r="Z306" s="111"/>
      <c r="AA306" s="111"/>
      <c r="AB306" s="111"/>
      <c r="AC306" s="112"/>
      <c r="AD306" s="113" t="str">
        <f t="shared" si="43"/>
        <v/>
      </c>
      <c r="AE306" s="114" t="str">
        <f t="shared" si="44"/>
        <v/>
      </c>
      <c r="AF306" s="115" t="str">
        <f t="shared" si="45"/>
        <v/>
      </c>
      <c r="AG306" s="116" t="str">
        <f t="shared" si="39"/>
        <v/>
      </c>
    </row>
    <row r="307" spans="1:33" x14ac:dyDescent="0.25">
      <c r="A307" s="16">
        <f t="shared" si="40"/>
        <v>304</v>
      </c>
      <c r="B307" s="31" t="str">
        <f t="shared" si="41"/>
        <v/>
      </c>
      <c r="C307" s="66" t="str">
        <f t="shared" si="42"/>
        <v/>
      </c>
      <c r="D307" s="92"/>
      <c r="E307" s="93"/>
      <c r="F307" s="93"/>
      <c r="G307" s="93"/>
      <c r="H307" s="94"/>
      <c r="I307" s="93"/>
      <c r="J307" s="93"/>
      <c r="K307" s="93"/>
      <c r="L307" s="93"/>
      <c r="M307" s="93"/>
      <c r="N307" s="95"/>
      <c r="O307" s="95" t="str">
        <f>IF(N307="","",IF('Event Dataset'!N307&lt;='Drop Downs and Assumptions'!$K$2,'Drop Downs and Assumptions'!$L$2,IF(AND('Event Dataset'!N307&gt;='Drop Downs and Assumptions'!$J$3,'Event Dataset'!N307&lt;='Drop Downs and Assumptions'!$K$3),'Drop Downs and Assumptions'!$L$3,IF(AND('Event Dataset'!N307&gt;='Drop Downs and Assumptions'!$J$4,'Event Dataset'!N307&lt;='Drop Downs and Assumptions'!$K$4),'Drop Downs and Assumptions'!$L$4,IF('Event Dataset'!N307&gt;='Drop Downs and Assumptions'!$J$5,'Drop Downs and Assumptions'!$L$5,"")))))</f>
        <v/>
      </c>
      <c r="P307" s="96"/>
      <c r="Q307" s="97"/>
      <c r="R307" s="98"/>
      <c r="S307" s="99"/>
      <c r="T307" s="99"/>
      <c r="U307" s="99"/>
      <c r="V307" s="99"/>
      <c r="W307" s="99"/>
      <c r="X307" s="99"/>
      <c r="Y307" s="99"/>
      <c r="Z307" s="99"/>
      <c r="AA307" s="99"/>
      <c r="AB307" s="99"/>
      <c r="AC307" s="100"/>
      <c r="AD307" s="101" t="str">
        <f t="shared" si="43"/>
        <v/>
      </c>
      <c r="AE307" s="102" t="str">
        <f t="shared" si="44"/>
        <v/>
      </c>
      <c r="AF307" s="103" t="str">
        <f t="shared" si="45"/>
        <v/>
      </c>
      <c r="AG307" s="104" t="str">
        <f t="shared" si="39"/>
        <v/>
      </c>
    </row>
    <row r="308" spans="1:33" x14ac:dyDescent="0.25">
      <c r="A308" s="4">
        <f t="shared" si="40"/>
        <v>305</v>
      </c>
      <c r="B308" s="30" t="str">
        <f t="shared" si="41"/>
        <v/>
      </c>
      <c r="C308" s="67" t="str">
        <f t="shared" si="42"/>
        <v/>
      </c>
      <c r="D308" s="105"/>
      <c r="E308" s="106"/>
      <c r="F308" s="106"/>
      <c r="G308" s="106"/>
      <c r="H308" s="107"/>
      <c r="I308" s="106"/>
      <c r="J308" s="106"/>
      <c r="K308" s="106"/>
      <c r="L308" s="106"/>
      <c r="M308" s="106"/>
      <c r="N308" s="108"/>
      <c r="O308" s="108" t="str">
        <f>IF(N308="","",IF('Event Dataset'!N308&lt;='Drop Downs and Assumptions'!$K$2,'Drop Downs and Assumptions'!$L$2,IF(AND('Event Dataset'!N308&gt;='Drop Downs and Assumptions'!$J$3,'Event Dataset'!N308&lt;='Drop Downs and Assumptions'!$K$3),'Drop Downs and Assumptions'!$L$3,IF(AND('Event Dataset'!N308&gt;='Drop Downs and Assumptions'!$J$4,'Event Dataset'!N308&lt;='Drop Downs and Assumptions'!$K$4),'Drop Downs and Assumptions'!$L$4,IF('Event Dataset'!N308&gt;='Drop Downs and Assumptions'!$J$5,'Drop Downs and Assumptions'!$L$5,"")))))</f>
        <v/>
      </c>
      <c r="P308" s="109"/>
      <c r="Q308" s="97"/>
      <c r="R308" s="110"/>
      <c r="S308" s="111"/>
      <c r="T308" s="111"/>
      <c r="U308" s="111"/>
      <c r="V308" s="111"/>
      <c r="W308" s="111"/>
      <c r="X308" s="111"/>
      <c r="Y308" s="111"/>
      <c r="Z308" s="111"/>
      <c r="AA308" s="111"/>
      <c r="AB308" s="111"/>
      <c r="AC308" s="112"/>
      <c r="AD308" s="113" t="str">
        <f t="shared" si="43"/>
        <v/>
      </c>
      <c r="AE308" s="114" t="str">
        <f t="shared" si="44"/>
        <v/>
      </c>
      <c r="AF308" s="115" t="str">
        <f t="shared" si="45"/>
        <v/>
      </c>
      <c r="AG308" s="116" t="str">
        <f t="shared" si="39"/>
        <v/>
      </c>
    </row>
    <row r="309" spans="1:33" x14ac:dyDescent="0.25">
      <c r="A309" s="16">
        <f t="shared" si="40"/>
        <v>306</v>
      </c>
      <c r="B309" s="31" t="str">
        <f t="shared" si="41"/>
        <v/>
      </c>
      <c r="C309" s="66" t="str">
        <f t="shared" si="42"/>
        <v/>
      </c>
      <c r="D309" s="92"/>
      <c r="E309" s="93"/>
      <c r="F309" s="93"/>
      <c r="G309" s="93"/>
      <c r="H309" s="94"/>
      <c r="I309" s="93"/>
      <c r="J309" s="93"/>
      <c r="K309" s="93"/>
      <c r="L309" s="93"/>
      <c r="M309" s="93"/>
      <c r="N309" s="95"/>
      <c r="O309" s="95" t="str">
        <f>IF(N309="","",IF('Event Dataset'!N309&lt;='Drop Downs and Assumptions'!$K$2,'Drop Downs and Assumptions'!$L$2,IF(AND('Event Dataset'!N309&gt;='Drop Downs and Assumptions'!$J$3,'Event Dataset'!N309&lt;='Drop Downs and Assumptions'!$K$3),'Drop Downs and Assumptions'!$L$3,IF(AND('Event Dataset'!N309&gt;='Drop Downs and Assumptions'!$J$4,'Event Dataset'!N309&lt;='Drop Downs and Assumptions'!$K$4),'Drop Downs and Assumptions'!$L$4,IF('Event Dataset'!N309&gt;='Drop Downs and Assumptions'!$J$5,'Drop Downs and Assumptions'!$L$5,"")))))</f>
        <v/>
      </c>
      <c r="P309" s="96"/>
      <c r="Q309" s="97"/>
      <c r="R309" s="98"/>
      <c r="S309" s="99"/>
      <c r="T309" s="99"/>
      <c r="U309" s="99"/>
      <c r="V309" s="99"/>
      <c r="W309" s="99"/>
      <c r="X309" s="99"/>
      <c r="Y309" s="99"/>
      <c r="Z309" s="99"/>
      <c r="AA309" s="99"/>
      <c r="AB309" s="99"/>
      <c r="AC309" s="100"/>
      <c r="AD309" s="101" t="str">
        <f t="shared" si="43"/>
        <v/>
      </c>
      <c r="AE309" s="102" t="str">
        <f t="shared" si="44"/>
        <v/>
      </c>
      <c r="AF309" s="103" t="str">
        <f t="shared" si="45"/>
        <v/>
      </c>
      <c r="AG309" s="104" t="str">
        <f t="shared" si="39"/>
        <v/>
      </c>
    </row>
    <row r="310" spans="1:33" x14ac:dyDescent="0.25">
      <c r="A310" s="4">
        <f t="shared" si="40"/>
        <v>307</v>
      </c>
      <c r="B310" s="30" t="str">
        <f t="shared" si="41"/>
        <v/>
      </c>
      <c r="C310" s="67" t="str">
        <f t="shared" si="42"/>
        <v/>
      </c>
      <c r="D310" s="105"/>
      <c r="E310" s="106"/>
      <c r="F310" s="106"/>
      <c r="G310" s="106"/>
      <c r="H310" s="107"/>
      <c r="I310" s="106"/>
      <c r="J310" s="106"/>
      <c r="K310" s="106"/>
      <c r="L310" s="106"/>
      <c r="M310" s="106"/>
      <c r="N310" s="108"/>
      <c r="O310" s="108" t="str">
        <f>IF(N310="","",IF('Event Dataset'!N310&lt;='Drop Downs and Assumptions'!$K$2,'Drop Downs and Assumptions'!$L$2,IF(AND('Event Dataset'!N310&gt;='Drop Downs and Assumptions'!$J$3,'Event Dataset'!N310&lt;='Drop Downs and Assumptions'!$K$3),'Drop Downs and Assumptions'!$L$3,IF(AND('Event Dataset'!N310&gt;='Drop Downs and Assumptions'!$J$4,'Event Dataset'!N310&lt;='Drop Downs and Assumptions'!$K$4),'Drop Downs and Assumptions'!$L$4,IF('Event Dataset'!N310&gt;='Drop Downs and Assumptions'!$J$5,'Drop Downs and Assumptions'!$L$5,"")))))</f>
        <v/>
      </c>
      <c r="P310" s="109"/>
      <c r="Q310" s="97"/>
      <c r="R310" s="110"/>
      <c r="S310" s="111"/>
      <c r="T310" s="111"/>
      <c r="U310" s="111"/>
      <c r="V310" s="111"/>
      <c r="W310" s="111"/>
      <c r="X310" s="111"/>
      <c r="Y310" s="111"/>
      <c r="Z310" s="111"/>
      <c r="AA310" s="111"/>
      <c r="AB310" s="111"/>
      <c r="AC310" s="112"/>
      <c r="AD310" s="113" t="str">
        <f t="shared" si="43"/>
        <v/>
      </c>
      <c r="AE310" s="114" t="str">
        <f t="shared" si="44"/>
        <v/>
      </c>
      <c r="AF310" s="115" t="str">
        <f t="shared" si="45"/>
        <v/>
      </c>
      <c r="AG310" s="116" t="str">
        <f t="shared" si="39"/>
        <v/>
      </c>
    </row>
    <row r="311" spans="1:33" x14ac:dyDescent="0.25">
      <c r="A311" s="16">
        <f t="shared" si="40"/>
        <v>308</v>
      </c>
      <c r="B311" s="31" t="str">
        <f t="shared" si="41"/>
        <v/>
      </c>
      <c r="C311" s="66" t="str">
        <f t="shared" si="42"/>
        <v/>
      </c>
      <c r="D311" s="92"/>
      <c r="E311" s="93"/>
      <c r="F311" s="93"/>
      <c r="G311" s="93"/>
      <c r="H311" s="94"/>
      <c r="I311" s="93"/>
      <c r="J311" s="93"/>
      <c r="K311" s="93"/>
      <c r="L311" s="93"/>
      <c r="M311" s="93"/>
      <c r="N311" s="95"/>
      <c r="O311" s="95" t="str">
        <f>IF(N311="","",IF('Event Dataset'!N311&lt;='Drop Downs and Assumptions'!$K$2,'Drop Downs and Assumptions'!$L$2,IF(AND('Event Dataset'!N311&gt;='Drop Downs and Assumptions'!$J$3,'Event Dataset'!N311&lt;='Drop Downs and Assumptions'!$K$3),'Drop Downs and Assumptions'!$L$3,IF(AND('Event Dataset'!N311&gt;='Drop Downs and Assumptions'!$J$4,'Event Dataset'!N311&lt;='Drop Downs and Assumptions'!$K$4),'Drop Downs and Assumptions'!$L$4,IF('Event Dataset'!N311&gt;='Drop Downs and Assumptions'!$J$5,'Drop Downs and Assumptions'!$L$5,"")))))</f>
        <v/>
      </c>
      <c r="P311" s="96"/>
      <c r="Q311" s="97"/>
      <c r="R311" s="98"/>
      <c r="S311" s="99"/>
      <c r="T311" s="99"/>
      <c r="U311" s="99"/>
      <c r="V311" s="99"/>
      <c r="W311" s="99"/>
      <c r="X311" s="99"/>
      <c r="Y311" s="99"/>
      <c r="Z311" s="99"/>
      <c r="AA311" s="99"/>
      <c r="AB311" s="99"/>
      <c r="AC311" s="100"/>
      <c r="AD311" s="101" t="str">
        <f t="shared" si="43"/>
        <v/>
      </c>
      <c r="AE311" s="102" t="str">
        <f t="shared" si="44"/>
        <v/>
      </c>
      <c r="AF311" s="103" t="str">
        <f t="shared" si="45"/>
        <v/>
      </c>
      <c r="AG311" s="104" t="str">
        <f t="shared" si="39"/>
        <v/>
      </c>
    </row>
    <row r="312" spans="1:33" x14ac:dyDescent="0.25">
      <c r="A312" s="4">
        <f t="shared" si="40"/>
        <v>309</v>
      </c>
      <c r="B312" s="30" t="str">
        <f t="shared" si="41"/>
        <v/>
      </c>
      <c r="C312" s="67" t="str">
        <f t="shared" si="42"/>
        <v/>
      </c>
      <c r="D312" s="105"/>
      <c r="E312" s="106"/>
      <c r="F312" s="106"/>
      <c r="G312" s="106"/>
      <c r="H312" s="107"/>
      <c r="I312" s="106"/>
      <c r="J312" s="106"/>
      <c r="K312" s="106"/>
      <c r="L312" s="106"/>
      <c r="M312" s="106"/>
      <c r="N312" s="108"/>
      <c r="O312" s="108" t="str">
        <f>IF(N312="","",IF('Event Dataset'!N312&lt;='Drop Downs and Assumptions'!$K$2,'Drop Downs and Assumptions'!$L$2,IF(AND('Event Dataset'!N312&gt;='Drop Downs and Assumptions'!$J$3,'Event Dataset'!N312&lt;='Drop Downs and Assumptions'!$K$3),'Drop Downs and Assumptions'!$L$3,IF(AND('Event Dataset'!N312&gt;='Drop Downs and Assumptions'!$J$4,'Event Dataset'!N312&lt;='Drop Downs and Assumptions'!$K$4),'Drop Downs and Assumptions'!$L$4,IF('Event Dataset'!N312&gt;='Drop Downs and Assumptions'!$J$5,'Drop Downs and Assumptions'!$L$5,"")))))</f>
        <v/>
      </c>
      <c r="P312" s="109"/>
      <c r="Q312" s="97"/>
      <c r="R312" s="110"/>
      <c r="S312" s="111"/>
      <c r="T312" s="111"/>
      <c r="U312" s="111"/>
      <c r="V312" s="111"/>
      <c r="W312" s="111"/>
      <c r="X312" s="111"/>
      <c r="Y312" s="111"/>
      <c r="Z312" s="111"/>
      <c r="AA312" s="111"/>
      <c r="AB312" s="111"/>
      <c r="AC312" s="112"/>
      <c r="AD312" s="113" t="str">
        <f t="shared" si="43"/>
        <v/>
      </c>
      <c r="AE312" s="114" t="str">
        <f t="shared" si="44"/>
        <v/>
      </c>
      <c r="AF312" s="115" t="str">
        <f t="shared" si="45"/>
        <v/>
      </c>
      <c r="AG312" s="116" t="str">
        <f t="shared" si="39"/>
        <v/>
      </c>
    </row>
    <row r="313" spans="1:33" x14ac:dyDescent="0.25">
      <c r="A313" s="16">
        <f t="shared" si="40"/>
        <v>310</v>
      </c>
      <c r="B313" s="31" t="str">
        <f t="shared" si="41"/>
        <v/>
      </c>
      <c r="C313" s="66" t="str">
        <f t="shared" si="42"/>
        <v/>
      </c>
      <c r="D313" s="92"/>
      <c r="E313" s="93"/>
      <c r="F313" s="93"/>
      <c r="G313" s="93"/>
      <c r="H313" s="94"/>
      <c r="I313" s="93"/>
      <c r="J313" s="93"/>
      <c r="K313" s="93"/>
      <c r="L313" s="93"/>
      <c r="M313" s="93"/>
      <c r="N313" s="95"/>
      <c r="O313" s="95" t="str">
        <f>IF(N313="","",IF('Event Dataset'!N313&lt;='Drop Downs and Assumptions'!$K$2,'Drop Downs and Assumptions'!$L$2,IF(AND('Event Dataset'!N313&gt;='Drop Downs and Assumptions'!$J$3,'Event Dataset'!N313&lt;='Drop Downs and Assumptions'!$K$3),'Drop Downs and Assumptions'!$L$3,IF(AND('Event Dataset'!N313&gt;='Drop Downs and Assumptions'!$J$4,'Event Dataset'!N313&lt;='Drop Downs and Assumptions'!$K$4),'Drop Downs and Assumptions'!$L$4,IF('Event Dataset'!N313&gt;='Drop Downs and Assumptions'!$J$5,'Drop Downs and Assumptions'!$L$5,"")))))</f>
        <v/>
      </c>
      <c r="P313" s="96"/>
      <c r="Q313" s="97"/>
      <c r="R313" s="98"/>
      <c r="S313" s="99"/>
      <c r="T313" s="99"/>
      <c r="U313" s="99"/>
      <c r="V313" s="99"/>
      <c r="W313" s="99"/>
      <c r="X313" s="99"/>
      <c r="Y313" s="99"/>
      <c r="Z313" s="99"/>
      <c r="AA313" s="99"/>
      <c r="AB313" s="99"/>
      <c r="AC313" s="100"/>
      <c r="AD313" s="101" t="str">
        <f t="shared" si="43"/>
        <v/>
      </c>
      <c r="AE313" s="102" t="str">
        <f t="shared" si="44"/>
        <v/>
      </c>
      <c r="AF313" s="103" t="str">
        <f t="shared" si="45"/>
        <v/>
      </c>
      <c r="AG313" s="104" t="str">
        <f t="shared" si="39"/>
        <v/>
      </c>
    </row>
    <row r="314" spans="1:33" x14ac:dyDescent="0.25">
      <c r="A314" s="4">
        <f t="shared" si="40"/>
        <v>311</v>
      </c>
      <c r="B314" s="30" t="str">
        <f t="shared" si="41"/>
        <v/>
      </c>
      <c r="C314" s="67" t="str">
        <f t="shared" si="42"/>
        <v/>
      </c>
      <c r="D314" s="105"/>
      <c r="E314" s="106"/>
      <c r="F314" s="106"/>
      <c r="G314" s="106"/>
      <c r="H314" s="107"/>
      <c r="I314" s="106"/>
      <c r="J314" s="106"/>
      <c r="K314" s="106"/>
      <c r="L314" s="106"/>
      <c r="M314" s="106"/>
      <c r="N314" s="108"/>
      <c r="O314" s="108" t="str">
        <f>IF(N314="","",IF('Event Dataset'!N314&lt;='Drop Downs and Assumptions'!$K$2,'Drop Downs and Assumptions'!$L$2,IF(AND('Event Dataset'!N314&gt;='Drop Downs and Assumptions'!$J$3,'Event Dataset'!N314&lt;='Drop Downs and Assumptions'!$K$3),'Drop Downs and Assumptions'!$L$3,IF(AND('Event Dataset'!N314&gt;='Drop Downs and Assumptions'!$J$4,'Event Dataset'!N314&lt;='Drop Downs and Assumptions'!$K$4),'Drop Downs and Assumptions'!$L$4,IF('Event Dataset'!N314&gt;='Drop Downs and Assumptions'!$J$5,'Drop Downs and Assumptions'!$L$5,"")))))</f>
        <v/>
      </c>
      <c r="P314" s="109"/>
      <c r="Q314" s="97"/>
      <c r="R314" s="110"/>
      <c r="S314" s="111"/>
      <c r="T314" s="111"/>
      <c r="U314" s="111"/>
      <c r="V314" s="111"/>
      <c r="W314" s="111"/>
      <c r="X314" s="111"/>
      <c r="Y314" s="111"/>
      <c r="Z314" s="111"/>
      <c r="AA314" s="111"/>
      <c r="AB314" s="111"/>
      <c r="AC314" s="112"/>
      <c r="AD314" s="113" t="str">
        <f t="shared" si="43"/>
        <v/>
      </c>
      <c r="AE314" s="114" t="str">
        <f t="shared" si="44"/>
        <v/>
      </c>
      <c r="AF314" s="115" t="str">
        <f t="shared" si="45"/>
        <v/>
      </c>
      <c r="AG314" s="116" t="str">
        <f t="shared" si="39"/>
        <v/>
      </c>
    </row>
    <row r="315" spans="1:33" x14ac:dyDescent="0.25">
      <c r="A315" s="16">
        <f t="shared" si="40"/>
        <v>312</v>
      </c>
      <c r="B315" s="31" t="str">
        <f t="shared" si="41"/>
        <v/>
      </c>
      <c r="C315" s="66" t="str">
        <f t="shared" si="42"/>
        <v/>
      </c>
      <c r="D315" s="92"/>
      <c r="E315" s="93"/>
      <c r="F315" s="93"/>
      <c r="G315" s="93"/>
      <c r="H315" s="94"/>
      <c r="I315" s="93"/>
      <c r="J315" s="93"/>
      <c r="K315" s="93"/>
      <c r="L315" s="93"/>
      <c r="M315" s="93"/>
      <c r="N315" s="95"/>
      <c r="O315" s="95" t="str">
        <f>IF(N315="","",IF('Event Dataset'!N315&lt;='Drop Downs and Assumptions'!$K$2,'Drop Downs and Assumptions'!$L$2,IF(AND('Event Dataset'!N315&gt;='Drop Downs and Assumptions'!$J$3,'Event Dataset'!N315&lt;='Drop Downs and Assumptions'!$K$3),'Drop Downs and Assumptions'!$L$3,IF(AND('Event Dataset'!N315&gt;='Drop Downs and Assumptions'!$J$4,'Event Dataset'!N315&lt;='Drop Downs and Assumptions'!$K$4),'Drop Downs and Assumptions'!$L$4,IF('Event Dataset'!N315&gt;='Drop Downs and Assumptions'!$J$5,'Drop Downs and Assumptions'!$L$5,"")))))</f>
        <v/>
      </c>
      <c r="P315" s="96"/>
      <c r="Q315" s="97"/>
      <c r="R315" s="98"/>
      <c r="S315" s="99"/>
      <c r="T315" s="99"/>
      <c r="U315" s="99"/>
      <c r="V315" s="99"/>
      <c r="W315" s="99"/>
      <c r="X315" s="99"/>
      <c r="Y315" s="99"/>
      <c r="Z315" s="99"/>
      <c r="AA315" s="99"/>
      <c r="AB315" s="99"/>
      <c r="AC315" s="100"/>
      <c r="AD315" s="101" t="str">
        <f t="shared" si="43"/>
        <v/>
      </c>
      <c r="AE315" s="102" t="str">
        <f t="shared" si="44"/>
        <v/>
      </c>
      <c r="AF315" s="103" t="str">
        <f t="shared" si="45"/>
        <v/>
      </c>
      <c r="AG315" s="104" t="str">
        <f t="shared" si="39"/>
        <v/>
      </c>
    </row>
    <row r="316" spans="1:33" x14ac:dyDescent="0.25">
      <c r="A316" s="4">
        <f t="shared" si="40"/>
        <v>313</v>
      </c>
      <c r="B316" s="30" t="str">
        <f t="shared" si="41"/>
        <v/>
      </c>
      <c r="C316" s="67" t="str">
        <f t="shared" si="42"/>
        <v/>
      </c>
      <c r="D316" s="105"/>
      <c r="E316" s="106"/>
      <c r="F316" s="106"/>
      <c r="G316" s="106"/>
      <c r="H316" s="107"/>
      <c r="I316" s="106"/>
      <c r="J316" s="106"/>
      <c r="K316" s="106"/>
      <c r="L316" s="106"/>
      <c r="M316" s="106"/>
      <c r="N316" s="108"/>
      <c r="O316" s="108" t="str">
        <f>IF(N316="","",IF('Event Dataset'!N316&lt;='Drop Downs and Assumptions'!$K$2,'Drop Downs and Assumptions'!$L$2,IF(AND('Event Dataset'!N316&gt;='Drop Downs and Assumptions'!$J$3,'Event Dataset'!N316&lt;='Drop Downs and Assumptions'!$K$3),'Drop Downs and Assumptions'!$L$3,IF(AND('Event Dataset'!N316&gt;='Drop Downs and Assumptions'!$J$4,'Event Dataset'!N316&lt;='Drop Downs and Assumptions'!$K$4),'Drop Downs and Assumptions'!$L$4,IF('Event Dataset'!N316&gt;='Drop Downs and Assumptions'!$J$5,'Drop Downs and Assumptions'!$L$5,"")))))</f>
        <v/>
      </c>
      <c r="P316" s="109"/>
      <c r="Q316" s="97"/>
      <c r="R316" s="110"/>
      <c r="S316" s="111"/>
      <c r="T316" s="111"/>
      <c r="U316" s="111"/>
      <c r="V316" s="111"/>
      <c r="W316" s="111"/>
      <c r="X316" s="111"/>
      <c r="Y316" s="111"/>
      <c r="Z316" s="111"/>
      <c r="AA316" s="111"/>
      <c r="AB316" s="111"/>
      <c r="AC316" s="112"/>
      <c r="AD316" s="113" t="str">
        <f t="shared" si="43"/>
        <v/>
      </c>
      <c r="AE316" s="114" t="str">
        <f t="shared" si="44"/>
        <v/>
      </c>
      <c r="AF316" s="115" t="str">
        <f t="shared" si="45"/>
        <v/>
      </c>
      <c r="AG316" s="116" t="str">
        <f t="shared" si="39"/>
        <v/>
      </c>
    </row>
    <row r="317" spans="1:33" x14ac:dyDescent="0.25">
      <c r="A317" s="16">
        <f t="shared" si="40"/>
        <v>314</v>
      </c>
      <c r="B317" s="31" t="str">
        <f t="shared" si="41"/>
        <v/>
      </c>
      <c r="C317" s="66" t="str">
        <f t="shared" si="42"/>
        <v/>
      </c>
      <c r="D317" s="92"/>
      <c r="E317" s="93"/>
      <c r="F317" s="93"/>
      <c r="G317" s="93"/>
      <c r="H317" s="94"/>
      <c r="I317" s="93"/>
      <c r="J317" s="93"/>
      <c r="K317" s="93"/>
      <c r="L317" s="93"/>
      <c r="M317" s="93"/>
      <c r="N317" s="95"/>
      <c r="O317" s="95" t="str">
        <f>IF(N317="","",IF('Event Dataset'!N317&lt;='Drop Downs and Assumptions'!$K$2,'Drop Downs and Assumptions'!$L$2,IF(AND('Event Dataset'!N317&gt;='Drop Downs and Assumptions'!$J$3,'Event Dataset'!N317&lt;='Drop Downs and Assumptions'!$K$3),'Drop Downs and Assumptions'!$L$3,IF(AND('Event Dataset'!N317&gt;='Drop Downs and Assumptions'!$J$4,'Event Dataset'!N317&lt;='Drop Downs and Assumptions'!$K$4),'Drop Downs and Assumptions'!$L$4,IF('Event Dataset'!N317&gt;='Drop Downs and Assumptions'!$J$5,'Drop Downs and Assumptions'!$L$5,"")))))</f>
        <v/>
      </c>
      <c r="P317" s="96"/>
      <c r="Q317" s="97"/>
      <c r="R317" s="98"/>
      <c r="S317" s="99"/>
      <c r="T317" s="99"/>
      <c r="U317" s="99"/>
      <c r="V317" s="99"/>
      <c r="W317" s="99"/>
      <c r="X317" s="99"/>
      <c r="Y317" s="99"/>
      <c r="Z317" s="99"/>
      <c r="AA317" s="99"/>
      <c r="AB317" s="99"/>
      <c r="AC317" s="100"/>
      <c r="AD317" s="101" t="str">
        <f t="shared" si="43"/>
        <v/>
      </c>
      <c r="AE317" s="102" t="str">
        <f t="shared" si="44"/>
        <v/>
      </c>
      <c r="AF317" s="103" t="str">
        <f t="shared" si="45"/>
        <v/>
      </c>
      <c r="AG317" s="104" t="str">
        <f t="shared" si="39"/>
        <v/>
      </c>
    </row>
    <row r="318" spans="1:33" x14ac:dyDescent="0.25">
      <c r="A318" s="4">
        <f t="shared" si="40"/>
        <v>315</v>
      </c>
      <c r="B318" s="30" t="str">
        <f t="shared" si="41"/>
        <v/>
      </c>
      <c r="C318" s="67" t="str">
        <f t="shared" si="42"/>
        <v/>
      </c>
      <c r="D318" s="105"/>
      <c r="E318" s="106"/>
      <c r="F318" s="106"/>
      <c r="G318" s="106"/>
      <c r="H318" s="107"/>
      <c r="I318" s="106"/>
      <c r="J318" s="106"/>
      <c r="K318" s="106"/>
      <c r="L318" s="106"/>
      <c r="M318" s="106"/>
      <c r="N318" s="108"/>
      <c r="O318" s="108" t="str">
        <f>IF(N318="","",IF('Event Dataset'!N318&lt;='Drop Downs and Assumptions'!$K$2,'Drop Downs and Assumptions'!$L$2,IF(AND('Event Dataset'!N318&gt;='Drop Downs and Assumptions'!$J$3,'Event Dataset'!N318&lt;='Drop Downs and Assumptions'!$K$3),'Drop Downs and Assumptions'!$L$3,IF(AND('Event Dataset'!N318&gt;='Drop Downs and Assumptions'!$J$4,'Event Dataset'!N318&lt;='Drop Downs and Assumptions'!$K$4),'Drop Downs and Assumptions'!$L$4,IF('Event Dataset'!N318&gt;='Drop Downs and Assumptions'!$J$5,'Drop Downs and Assumptions'!$L$5,"")))))</f>
        <v/>
      </c>
      <c r="P318" s="109"/>
      <c r="Q318" s="97"/>
      <c r="R318" s="110"/>
      <c r="S318" s="111"/>
      <c r="T318" s="111"/>
      <c r="U318" s="111"/>
      <c r="V318" s="111"/>
      <c r="W318" s="111"/>
      <c r="X318" s="111"/>
      <c r="Y318" s="111"/>
      <c r="Z318" s="111"/>
      <c r="AA318" s="111"/>
      <c r="AB318" s="111"/>
      <c r="AC318" s="112"/>
      <c r="AD318" s="113" t="str">
        <f t="shared" si="43"/>
        <v/>
      </c>
      <c r="AE318" s="114" t="str">
        <f t="shared" si="44"/>
        <v/>
      </c>
      <c r="AF318" s="115" t="str">
        <f t="shared" si="45"/>
        <v/>
      </c>
      <c r="AG318" s="116" t="str">
        <f t="shared" si="39"/>
        <v/>
      </c>
    </row>
    <row r="319" spans="1:33" x14ac:dyDescent="0.25">
      <c r="A319" s="16">
        <f t="shared" si="40"/>
        <v>316</v>
      </c>
      <c r="B319" s="31" t="str">
        <f t="shared" si="41"/>
        <v/>
      </c>
      <c r="C319" s="66" t="str">
        <f t="shared" si="42"/>
        <v/>
      </c>
      <c r="D319" s="92"/>
      <c r="E319" s="93"/>
      <c r="F319" s="93"/>
      <c r="G319" s="93"/>
      <c r="H319" s="94"/>
      <c r="I319" s="93"/>
      <c r="J319" s="93"/>
      <c r="K319" s="93"/>
      <c r="L319" s="93"/>
      <c r="M319" s="93"/>
      <c r="N319" s="95"/>
      <c r="O319" s="95" t="str">
        <f>IF(N319="","",IF('Event Dataset'!N319&lt;='Drop Downs and Assumptions'!$K$2,'Drop Downs and Assumptions'!$L$2,IF(AND('Event Dataset'!N319&gt;='Drop Downs and Assumptions'!$J$3,'Event Dataset'!N319&lt;='Drop Downs and Assumptions'!$K$3),'Drop Downs and Assumptions'!$L$3,IF(AND('Event Dataset'!N319&gt;='Drop Downs and Assumptions'!$J$4,'Event Dataset'!N319&lt;='Drop Downs and Assumptions'!$K$4),'Drop Downs and Assumptions'!$L$4,IF('Event Dataset'!N319&gt;='Drop Downs and Assumptions'!$J$5,'Drop Downs and Assumptions'!$L$5,"")))))</f>
        <v/>
      </c>
      <c r="P319" s="96"/>
      <c r="Q319" s="97"/>
      <c r="R319" s="98"/>
      <c r="S319" s="99"/>
      <c r="T319" s="99"/>
      <c r="U319" s="99"/>
      <c r="V319" s="99"/>
      <c r="W319" s="99"/>
      <c r="X319" s="99"/>
      <c r="Y319" s="99"/>
      <c r="Z319" s="99"/>
      <c r="AA319" s="99"/>
      <c r="AB319" s="99"/>
      <c r="AC319" s="100"/>
      <c r="AD319" s="101" t="str">
        <f t="shared" si="43"/>
        <v/>
      </c>
      <c r="AE319" s="102" t="str">
        <f t="shared" si="44"/>
        <v/>
      </c>
      <c r="AF319" s="103" t="str">
        <f t="shared" si="45"/>
        <v/>
      </c>
      <c r="AG319" s="104" t="str">
        <f t="shared" si="39"/>
        <v/>
      </c>
    </row>
    <row r="320" spans="1:33" x14ac:dyDescent="0.25">
      <c r="A320" s="4">
        <f t="shared" si="40"/>
        <v>317</v>
      </c>
      <c r="B320" s="30" t="str">
        <f t="shared" si="41"/>
        <v/>
      </c>
      <c r="C320" s="67" t="str">
        <f t="shared" si="42"/>
        <v/>
      </c>
      <c r="D320" s="105"/>
      <c r="E320" s="106"/>
      <c r="F320" s="106"/>
      <c r="G320" s="106"/>
      <c r="H320" s="107"/>
      <c r="I320" s="106"/>
      <c r="J320" s="106"/>
      <c r="K320" s="106"/>
      <c r="L320" s="106"/>
      <c r="M320" s="106"/>
      <c r="N320" s="108"/>
      <c r="O320" s="108" t="str">
        <f>IF(N320="","",IF('Event Dataset'!N320&lt;='Drop Downs and Assumptions'!$K$2,'Drop Downs and Assumptions'!$L$2,IF(AND('Event Dataset'!N320&gt;='Drop Downs and Assumptions'!$J$3,'Event Dataset'!N320&lt;='Drop Downs and Assumptions'!$K$3),'Drop Downs and Assumptions'!$L$3,IF(AND('Event Dataset'!N320&gt;='Drop Downs and Assumptions'!$J$4,'Event Dataset'!N320&lt;='Drop Downs and Assumptions'!$K$4),'Drop Downs and Assumptions'!$L$4,IF('Event Dataset'!N320&gt;='Drop Downs and Assumptions'!$J$5,'Drop Downs and Assumptions'!$L$5,"")))))</f>
        <v/>
      </c>
      <c r="P320" s="109"/>
      <c r="Q320" s="97"/>
      <c r="R320" s="110"/>
      <c r="S320" s="111"/>
      <c r="T320" s="111"/>
      <c r="U320" s="111"/>
      <c r="V320" s="111"/>
      <c r="W320" s="111"/>
      <c r="X320" s="111"/>
      <c r="Y320" s="111"/>
      <c r="Z320" s="111"/>
      <c r="AA320" s="111"/>
      <c r="AB320" s="111"/>
      <c r="AC320" s="112"/>
      <c r="AD320" s="113" t="str">
        <f t="shared" si="43"/>
        <v/>
      </c>
      <c r="AE320" s="114" t="str">
        <f t="shared" si="44"/>
        <v/>
      </c>
      <c r="AF320" s="115" t="str">
        <f t="shared" si="45"/>
        <v/>
      </c>
      <c r="AG320" s="116" t="str">
        <f t="shared" si="39"/>
        <v/>
      </c>
    </row>
    <row r="321" spans="1:33" x14ac:dyDescent="0.25">
      <c r="A321" s="16">
        <f t="shared" si="40"/>
        <v>318</v>
      </c>
      <c r="B321" s="31" t="str">
        <f t="shared" si="41"/>
        <v/>
      </c>
      <c r="C321" s="66" t="str">
        <f t="shared" si="42"/>
        <v/>
      </c>
      <c r="D321" s="92"/>
      <c r="E321" s="93"/>
      <c r="F321" s="93"/>
      <c r="G321" s="93"/>
      <c r="H321" s="94"/>
      <c r="I321" s="93"/>
      <c r="J321" s="93"/>
      <c r="K321" s="93"/>
      <c r="L321" s="93"/>
      <c r="M321" s="93"/>
      <c r="N321" s="95"/>
      <c r="O321" s="95" t="str">
        <f>IF(N321="","",IF('Event Dataset'!N321&lt;='Drop Downs and Assumptions'!$K$2,'Drop Downs and Assumptions'!$L$2,IF(AND('Event Dataset'!N321&gt;='Drop Downs and Assumptions'!$J$3,'Event Dataset'!N321&lt;='Drop Downs and Assumptions'!$K$3),'Drop Downs and Assumptions'!$L$3,IF(AND('Event Dataset'!N321&gt;='Drop Downs and Assumptions'!$J$4,'Event Dataset'!N321&lt;='Drop Downs and Assumptions'!$K$4),'Drop Downs and Assumptions'!$L$4,IF('Event Dataset'!N321&gt;='Drop Downs and Assumptions'!$J$5,'Drop Downs and Assumptions'!$L$5,"")))))</f>
        <v/>
      </c>
      <c r="P321" s="96"/>
      <c r="Q321" s="97"/>
      <c r="R321" s="98"/>
      <c r="S321" s="99"/>
      <c r="T321" s="99"/>
      <c r="U321" s="99"/>
      <c r="V321" s="99"/>
      <c r="W321" s="99"/>
      <c r="X321" s="99"/>
      <c r="Y321" s="99"/>
      <c r="Z321" s="99"/>
      <c r="AA321" s="99"/>
      <c r="AB321" s="99"/>
      <c r="AC321" s="100"/>
      <c r="AD321" s="101" t="str">
        <f t="shared" si="43"/>
        <v/>
      </c>
      <c r="AE321" s="102" t="str">
        <f t="shared" si="44"/>
        <v/>
      </c>
      <c r="AF321" s="103" t="str">
        <f t="shared" si="45"/>
        <v/>
      </c>
      <c r="AG321" s="104" t="str">
        <f t="shared" si="39"/>
        <v/>
      </c>
    </row>
    <row r="322" spans="1:33" x14ac:dyDescent="0.25">
      <c r="A322" s="4">
        <f t="shared" si="40"/>
        <v>319</v>
      </c>
      <c r="B322" s="30" t="str">
        <f t="shared" si="41"/>
        <v/>
      </c>
      <c r="C322" s="67" t="str">
        <f t="shared" si="42"/>
        <v/>
      </c>
      <c r="D322" s="105"/>
      <c r="E322" s="106"/>
      <c r="F322" s="106"/>
      <c r="G322" s="106"/>
      <c r="H322" s="107"/>
      <c r="I322" s="106"/>
      <c r="J322" s="106"/>
      <c r="K322" s="106"/>
      <c r="L322" s="106"/>
      <c r="M322" s="106"/>
      <c r="N322" s="108"/>
      <c r="O322" s="108" t="str">
        <f>IF(N322="","",IF('Event Dataset'!N322&lt;='Drop Downs and Assumptions'!$K$2,'Drop Downs and Assumptions'!$L$2,IF(AND('Event Dataset'!N322&gt;='Drop Downs and Assumptions'!$J$3,'Event Dataset'!N322&lt;='Drop Downs and Assumptions'!$K$3),'Drop Downs and Assumptions'!$L$3,IF(AND('Event Dataset'!N322&gt;='Drop Downs and Assumptions'!$J$4,'Event Dataset'!N322&lt;='Drop Downs and Assumptions'!$K$4),'Drop Downs and Assumptions'!$L$4,IF('Event Dataset'!N322&gt;='Drop Downs and Assumptions'!$J$5,'Drop Downs and Assumptions'!$L$5,"")))))</f>
        <v/>
      </c>
      <c r="P322" s="109"/>
      <c r="Q322" s="97"/>
      <c r="R322" s="110"/>
      <c r="S322" s="111"/>
      <c r="T322" s="111"/>
      <c r="U322" s="111"/>
      <c r="V322" s="111"/>
      <c r="W322" s="111"/>
      <c r="X322" s="111"/>
      <c r="Y322" s="111"/>
      <c r="Z322" s="111"/>
      <c r="AA322" s="111"/>
      <c r="AB322" s="111"/>
      <c r="AC322" s="112"/>
      <c r="AD322" s="113" t="str">
        <f t="shared" si="43"/>
        <v/>
      </c>
      <c r="AE322" s="114" t="str">
        <f t="shared" si="44"/>
        <v/>
      </c>
      <c r="AF322" s="115" t="str">
        <f t="shared" si="45"/>
        <v/>
      </c>
      <c r="AG322" s="116" t="str">
        <f t="shared" si="39"/>
        <v/>
      </c>
    </row>
    <row r="323" spans="1:33" x14ac:dyDescent="0.25">
      <c r="A323" s="16">
        <f t="shared" si="40"/>
        <v>320</v>
      </c>
      <c r="B323" s="31" t="str">
        <f t="shared" si="41"/>
        <v/>
      </c>
      <c r="C323" s="66" t="str">
        <f t="shared" si="42"/>
        <v/>
      </c>
      <c r="D323" s="92"/>
      <c r="E323" s="93"/>
      <c r="F323" s="93"/>
      <c r="G323" s="93"/>
      <c r="H323" s="94"/>
      <c r="I323" s="93"/>
      <c r="J323" s="93"/>
      <c r="K323" s="93"/>
      <c r="L323" s="93"/>
      <c r="M323" s="93"/>
      <c r="N323" s="95"/>
      <c r="O323" s="95" t="str">
        <f>IF(N323="","",IF('Event Dataset'!N323&lt;='Drop Downs and Assumptions'!$K$2,'Drop Downs and Assumptions'!$L$2,IF(AND('Event Dataset'!N323&gt;='Drop Downs and Assumptions'!$J$3,'Event Dataset'!N323&lt;='Drop Downs and Assumptions'!$K$3),'Drop Downs and Assumptions'!$L$3,IF(AND('Event Dataset'!N323&gt;='Drop Downs and Assumptions'!$J$4,'Event Dataset'!N323&lt;='Drop Downs and Assumptions'!$K$4),'Drop Downs and Assumptions'!$L$4,IF('Event Dataset'!N323&gt;='Drop Downs and Assumptions'!$J$5,'Drop Downs and Assumptions'!$L$5,"")))))</f>
        <v/>
      </c>
      <c r="P323" s="96"/>
      <c r="Q323" s="97"/>
      <c r="R323" s="98"/>
      <c r="S323" s="99"/>
      <c r="T323" s="99"/>
      <c r="U323" s="99"/>
      <c r="V323" s="99"/>
      <c r="W323" s="99"/>
      <c r="X323" s="99"/>
      <c r="Y323" s="99"/>
      <c r="Z323" s="99"/>
      <c r="AA323" s="99"/>
      <c r="AB323" s="99"/>
      <c r="AC323" s="100"/>
      <c r="AD323" s="101" t="str">
        <f t="shared" si="43"/>
        <v/>
      </c>
      <c r="AE323" s="102" t="str">
        <f t="shared" si="44"/>
        <v/>
      </c>
      <c r="AF323" s="103" t="str">
        <f t="shared" si="45"/>
        <v/>
      </c>
      <c r="AG323" s="104" t="str">
        <f t="shared" si="39"/>
        <v/>
      </c>
    </row>
    <row r="324" spans="1:33" x14ac:dyDescent="0.25">
      <c r="A324" s="4">
        <f t="shared" si="40"/>
        <v>321</v>
      </c>
      <c r="B324" s="30" t="str">
        <f t="shared" si="41"/>
        <v/>
      </c>
      <c r="C324" s="67" t="str">
        <f t="shared" si="42"/>
        <v/>
      </c>
      <c r="D324" s="105"/>
      <c r="E324" s="106"/>
      <c r="F324" s="106"/>
      <c r="G324" s="106"/>
      <c r="H324" s="107"/>
      <c r="I324" s="106"/>
      <c r="J324" s="106"/>
      <c r="K324" s="106"/>
      <c r="L324" s="106"/>
      <c r="M324" s="106"/>
      <c r="N324" s="108"/>
      <c r="O324" s="108" t="str">
        <f>IF(N324="","",IF('Event Dataset'!N324&lt;='Drop Downs and Assumptions'!$K$2,'Drop Downs and Assumptions'!$L$2,IF(AND('Event Dataset'!N324&gt;='Drop Downs and Assumptions'!$J$3,'Event Dataset'!N324&lt;='Drop Downs and Assumptions'!$K$3),'Drop Downs and Assumptions'!$L$3,IF(AND('Event Dataset'!N324&gt;='Drop Downs and Assumptions'!$J$4,'Event Dataset'!N324&lt;='Drop Downs and Assumptions'!$K$4),'Drop Downs and Assumptions'!$L$4,IF('Event Dataset'!N324&gt;='Drop Downs and Assumptions'!$J$5,'Drop Downs and Assumptions'!$L$5,"")))))</f>
        <v/>
      </c>
      <c r="P324" s="109"/>
      <c r="Q324" s="97"/>
      <c r="R324" s="110"/>
      <c r="S324" s="111"/>
      <c r="T324" s="111"/>
      <c r="U324" s="111"/>
      <c r="V324" s="111"/>
      <c r="W324" s="111"/>
      <c r="X324" s="111"/>
      <c r="Y324" s="111"/>
      <c r="Z324" s="111"/>
      <c r="AA324" s="111"/>
      <c r="AB324" s="111"/>
      <c r="AC324" s="112"/>
      <c r="AD324" s="113" t="str">
        <f t="shared" si="43"/>
        <v/>
      </c>
      <c r="AE324" s="114" t="str">
        <f t="shared" si="44"/>
        <v/>
      </c>
      <c r="AF324" s="115" t="str">
        <f t="shared" si="45"/>
        <v/>
      </c>
      <c r="AG324" s="116" t="str">
        <f t="shared" ref="AG324:AG387" si="46">IFERROR((AD324-AC324)*1000/P324/N324,"")</f>
        <v/>
      </c>
    </row>
    <row r="325" spans="1:33" x14ac:dyDescent="0.25">
      <c r="A325" s="16">
        <f t="shared" ref="A325:A388" si="47">A324+1</f>
        <v>322</v>
      </c>
      <c r="B325" s="31" t="str">
        <f t="shared" ref="B325:B388" si="48">IFERROR(RANK(AF325,$AF$4:$AF$470,0),"")</f>
        <v/>
      </c>
      <c r="C325" s="66" t="str">
        <f t="shared" si="42"/>
        <v/>
      </c>
      <c r="D325" s="92"/>
      <c r="E325" s="93"/>
      <c r="F325" s="93"/>
      <c r="G325" s="93"/>
      <c r="H325" s="94"/>
      <c r="I325" s="93"/>
      <c r="J325" s="93"/>
      <c r="K325" s="93"/>
      <c r="L325" s="93"/>
      <c r="M325" s="93"/>
      <c r="N325" s="95"/>
      <c r="O325" s="95" t="str">
        <f>IF(N325="","",IF('Event Dataset'!N325&lt;='Drop Downs and Assumptions'!$K$2,'Drop Downs and Assumptions'!$L$2,IF(AND('Event Dataset'!N325&gt;='Drop Downs and Assumptions'!$J$3,'Event Dataset'!N325&lt;='Drop Downs and Assumptions'!$K$3),'Drop Downs and Assumptions'!$L$3,IF(AND('Event Dataset'!N325&gt;='Drop Downs and Assumptions'!$J$4,'Event Dataset'!N325&lt;='Drop Downs and Assumptions'!$K$4),'Drop Downs and Assumptions'!$L$4,IF('Event Dataset'!N325&gt;='Drop Downs and Assumptions'!$J$5,'Drop Downs and Assumptions'!$L$5,"")))))</f>
        <v/>
      </c>
      <c r="P325" s="96"/>
      <c r="Q325" s="97"/>
      <c r="R325" s="98"/>
      <c r="S325" s="99"/>
      <c r="T325" s="99"/>
      <c r="U325" s="99"/>
      <c r="V325" s="99"/>
      <c r="W325" s="99"/>
      <c r="X325" s="99"/>
      <c r="Y325" s="99"/>
      <c r="Z325" s="99"/>
      <c r="AA325" s="99"/>
      <c r="AB325" s="99"/>
      <c r="AC325" s="100"/>
      <c r="AD325" s="101" t="str">
        <f t="shared" si="43"/>
        <v/>
      </c>
      <c r="AE325" s="102" t="str">
        <f t="shared" si="44"/>
        <v/>
      </c>
      <c r="AF325" s="103" t="str">
        <f t="shared" si="45"/>
        <v/>
      </c>
      <c r="AG325" s="104" t="str">
        <f t="shared" si="46"/>
        <v/>
      </c>
    </row>
    <row r="326" spans="1:33" x14ac:dyDescent="0.25">
      <c r="A326" s="4">
        <f t="shared" si="47"/>
        <v>323</v>
      </c>
      <c r="B326" s="30" t="str">
        <f t="shared" si="48"/>
        <v/>
      </c>
      <c r="C326" s="67" t="str">
        <f t="shared" si="42"/>
        <v/>
      </c>
      <c r="D326" s="105"/>
      <c r="E326" s="106"/>
      <c r="F326" s="106"/>
      <c r="G326" s="106"/>
      <c r="H326" s="107"/>
      <c r="I326" s="106"/>
      <c r="J326" s="106"/>
      <c r="K326" s="106"/>
      <c r="L326" s="106"/>
      <c r="M326" s="106"/>
      <c r="N326" s="108"/>
      <c r="O326" s="108" t="str">
        <f>IF(N326="","",IF('Event Dataset'!N326&lt;='Drop Downs and Assumptions'!$K$2,'Drop Downs and Assumptions'!$L$2,IF(AND('Event Dataset'!N326&gt;='Drop Downs and Assumptions'!$J$3,'Event Dataset'!N326&lt;='Drop Downs and Assumptions'!$K$3),'Drop Downs and Assumptions'!$L$3,IF(AND('Event Dataset'!N326&gt;='Drop Downs and Assumptions'!$J$4,'Event Dataset'!N326&lt;='Drop Downs and Assumptions'!$K$4),'Drop Downs and Assumptions'!$L$4,IF('Event Dataset'!N326&gt;='Drop Downs and Assumptions'!$J$5,'Drop Downs and Assumptions'!$L$5,"")))))</f>
        <v/>
      </c>
      <c r="P326" s="109"/>
      <c r="Q326" s="97"/>
      <c r="R326" s="110"/>
      <c r="S326" s="111"/>
      <c r="T326" s="111"/>
      <c r="U326" s="111"/>
      <c r="V326" s="111"/>
      <c r="W326" s="111"/>
      <c r="X326" s="111"/>
      <c r="Y326" s="111"/>
      <c r="Z326" s="111"/>
      <c r="AA326" s="111"/>
      <c r="AB326" s="111"/>
      <c r="AC326" s="112"/>
      <c r="AD326" s="113" t="str">
        <f t="shared" si="43"/>
        <v/>
      </c>
      <c r="AE326" s="114" t="str">
        <f t="shared" si="44"/>
        <v/>
      </c>
      <c r="AF326" s="115" t="str">
        <f t="shared" si="45"/>
        <v/>
      </c>
      <c r="AG326" s="116" t="str">
        <f t="shared" si="46"/>
        <v/>
      </c>
    </row>
    <row r="327" spans="1:33" x14ac:dyDescent="0.25">
      <c r="A327" s="16">
        <f t="shared" si="47"/>
        <v>324</v>
      </c>
      <c r="B327" s="31" t="str">
        <f t="shared" si="48"/>
        <v/>
      </c>
      <c r="C327" s="66" t="str">
        <f t="shared" si="42"/>
        <v/>
      </c>
      <c r="D327" s="92"/>
      <c r="E327" s="93"/>
      <c r="F327" s="93"/>
      <c r="G327" s="93"/>
      <c r="H327" s="94"/>
      <c r="I327" s="93"/>
      <c r="J327" s="93"/>
      <c r="K327" s="93"/>
      <c r="L327" s="93"/>
      <c r="M327" s="93"/>
      <c r="N327" s="95"/>
      <c r="O327" s="95" t="str">
        <f>IF(N327="","",IF('Event Dataset'!N327&lt;='Drop Downs and Assumptions'!$K$2,'Drop Downs and Assumptions'!$L$2,IF(AND('Event Dataset'!N327&gt;='Drop Downs and Assumptions'!$J$3,'Event Dataset'!N327&lt;='Drop Downs and Assumptions'!$K$3),'Drop Downs and Assumptions'!$L$3,IF(AND('Event Dataset'!N327&gt;='Drop Downs and Assumptions'!$J$4,'Event Dataset'!N327&lt;='Drop Downs and Assumptions'!$K$4),'Drop Downs and Assumptions'!$L$4,IF('Event Dataset'!N327&gt;='Drop Downs and Assumptions'!$J$5,'Drop Downs and Assumptions'!$L$5,"")))))</f>
        <v/>
      </c>
      <c r="P327" s="96"/>
      <c r="Q327" s="97"/>
      <c r="R327" s="98"/>
      <c r="S327" s="99"/>
      <c r="T327" s="99"/>
      <c r="U327" s="99"/>
      <c r="V327" s="99"/>
      <c r="W327" s="99"/>
      <c r="X327" s="99"/>
      <c r="Y327" s="99"/>
      <c r="Z327" s="99"/>
      <c r="AA327" s="99"/>
      <c r="AB327" s="99"/>
      <c r="AC327" s="100"/>
      <c r="AD327" s="101" t="str">
        <f t="shared" si="43"/>
        <v/>
      </c>
      <c r="AE327" s="102" t="str">
        <f t="shared" si="44"/>
        <v/>
      </c>
      <c r="AF327" s="103" t="str">
        <f t="shared" si="45"/>
        <v/>
      </c>
      <c r="AG327" s="104" t="str">
        <f t="shared" si="46"/>
        <v/>
      </c>
    </row>
    <row r="328" spans="1:33" x14ac:dyDescent="0.25">
      <c r="A328" s="4">
        <f t="shared" si="47"/>
        <v>325</v>
      </c>
      <c r="B328" s="30" t="str">
        <f t="shared" si="48"/>
        <v/>
      </c>
      <c r="C328" s="67" t="str">
        <f t="shared" si="42"/>
        <v/>
      </c>
      <c r="D328" s="105"/>
      <c r="E328" s="106"/>
      <c r="F328" s="106"/>
      <c r="G328" s="106"/>
      <c r="H328" s="107"/>
      <c r="I328" s="106"/>
      <c r="J328" s="106"/>
      <c r="K328" s="106"/>
      <c r="L328" s="106"/>
      <c r="M328" s="106"/>
      <c r="N328" s="108"/>
      <c r="O328" s="108" t="str">
        <f>IF(N328="","",IF('Event Dataset'!N328&lt;='Drop Downs and Assumptions'!$K$2,'Drop Downs and Assumptions'!$L$2,IF(AND('Event Dataset'!N328&gt;='Drop Downs and Assumptions'!$J$3,'Event Dataset'!N328&lt;='Drop Downs and Assumptions'!$K$3),'Drop Downs and Assumptions'!$L$3,IF(AND('Event Dataset'!N328&gt;='Drop Downs and Assumptions'!$J$4,'Event Dataset'!N328&lt;='Drop Downs and Assumptions'!$K$4),'Drop Downs and Assumptions'!$L$4,IF('Event Dataset'!N328&gt;='Drop Downs and Assumptions'!$J$5,'Drop Downs and Assumptions'!$L$5,"")))))</f>
        <v/>
      </c>
      <c r="P328" s="109"/>
      <c r="Q328" s="97"/>
      <c r="R328" s="110"/>
      <c r="S328" s="111"/>
      <c r="T328" s="111"/>
      <c r="U328" s="111"/>
      <c r="V328" s="111"/>
      <c r="W328" s="111"/>
      <c r="X328" s="111"/>
      <c r="Y328" s="111"/>
      <c r="Z328" s="111"/>
      <c r="AA328" s="111"/>
      <c r="AB328" s="111"/>
      <c r="AC328" s="112"/>
      <c r="AD328" s="113" t="str">
        <f t="shared" si="43"/>
        <v/>
      </c>
      <c r="AE328" s="114" t="str">
        <f t="shared" si="44"/>
        <v/>
      </c>
      <c r="AF328" s="115" t="str">
        <f t="shared" si="45"/>
        <v/>
      </c>
      <c r="AG328" s="116" t="str">
        <f t="shared" si="46"/>
        <v/>
      </c>
    </row>
    <row r="329" spans="1:33" x14ac:dyDescent="0.25">
      <c r="A329" s="16">
        <f t="shared" si="47"/>
        <v>326</v>
      </c>
      <c r="B329" s="31" t="str">
        <f t="shared" si="48"/>
        <v/>
      </c>
      <c r="C329" s="66" t="str">
        <f t="shared" si="42"/>
        <v/>
      </c>
      <c r="D329" s="92"/>
      <c r="E329" s="93"/>
      <c r="F329" s="93"/>
      <c r="G329" s="93"/>
      <c r="H329" s="94"/>
      <c r="I329" s="93"/>
      <c r="J329" s="93"/>
      <c r="K329" s="93"/>
      <c r="L329" s="93"/>
      <c r="M329" s="93"/>
      <c r="N329" s="95"/>
      <c r="O329" s="95" t="str">
        <f>IF(N329="","",IF('Event Dataset'!N329&lt;='Drop Downs and Assumptions'!$K$2,'Drop Downs and Assumptions'!$L$2,IF(AND('Event Dataset'!N329&gt;='Drop Downs and Assumptions'!$J$3,'Event Dataset'!N329&lt;='Drop Downs and Assumptions'!$K$3),'Drop Downs and Assumptions'!$L$3,IF(AND('Event Dataset'!N329&gt;='Drop Downs and Assumptions'!$J$4,'Event Dataset'!N329&lt;='Drop Downs and Assumptions'!$K$4),'Drop Downs and Assumptions'!$L$4,IF('Event Dataset'!N329&gt;='Drop Downs and Assumptions'!$J$5,'Drop Downs and Assumptions'!$L$5,"")))))</f>
        <v/>
      </c>
      <c r="P329" s="96"/>
      <c r="Q329" s="97"/>
      <c r="R329" s="98"/>
      <c r="S329" s="99"/>
      <c r="T329" s="99"/>
      <c r="U329" s="99"/>
      <c r="V329" s="99"/>
      <c r="W329" s="99"/>
      <c r="X329" s="99"/>
      <c r="Y329" s="99"/>
      <c r="Z329" s="99"/>
      <c r="AA329" s="99"/>
      <c r="AB329" s="99"/>
      <c r="AC329" s="100"/>
      <c r="AD329" s="101" t="str">
        <f t="shared" si="43"/>
        <v/>
      </c>
      <c r="AE329" s="102" t="str">
        <f t="shared" si="44"/>
        <v/>
      </c>
      <c r="AF329" s="103" t="str">
        <f t="shared" si="45"/>
        <v/>
      </c>
      <c r="AG329" s="104" t="str">
        <f t="shared" si="46"/>
        <v/>
      </c>
    </row>
    <row r="330" spans="1:33" x14ac:dyDescent="0.25">
      <c r="A330" s="4">
        <f t="shared" si="47"/>
        <v>327</v>
      </c>
      <c r="B330" s="30" t="str">
        <f t="shared" si="48"/>
        <v/>
      </c>
      <c r="C330" s="67" t="str">
        <f t="shared" si="42"/>
        <v/>
      </c>
      <c r="D330" s="105"/>
      <c r="E330" s="106"/>
      <c r="F330" s="106"/>
      <c r="G330" s="106"/>
      <c r="H330" s="107"/>
      <c r="I330" s="106"/>
      <c r="J330" s="106"/>
      <c r="K330" s="106"/>
      <c r="L330" s="106"/>
      <c r="M330" s="106"/>
      <c r="N330" s="108"/>
      <c r="O330" s="108" t="str">
        <f>IF(N330="","",IF('Event Dataset'!N330&lt;='Drop Downs and Assumptions'!$K$2,'Drop Downs and Assumptions'!$L$2,IF(AND('Event Dataset'!N330&gt;='Drop Downs and Assumptions'!$J$3,'Event Dataset'!N330&lt;='Drop Downs and Assumptions'!$K$3),'Drop Downs and Assumptions'!$L$3,IF(AND('Event Dataset'!N330&gt;='Drop Downs and Assumptions'!$J$4,'Event Dataset'!N330&lt;='Drop Downs and Assumptions'!$K$4),'Drop Downs and Assumptions'!$L$4,IF('Event Dataset'!N330&gt;='Drop Downs and Assumptions'!$J$5,'Drop Downs and Assumptions'!$L$5,"")))))</f>
        <v/>
      </c>
      <c r="P330" s="109"/>
      <c r="Q330" s="97"/>
      <c r="R330" s="110"/>
      <c r="S330" s="111"/>
      <c r="T330" s="111"/>
      <c r="U330" s="111"/>
      <c r="V330" s="111"/>
      <c r="W330" s="111"/>
      <c r="X330" s="111"/>
      <c r="Y330" s="111"/>
      <c r="Z330" s="111"/>
      <c r="AA330" s="111"/>
      <c r="AB330" s="111"/>
      <c r="AC330" s="112"/>
      <c r="AD330" s="113" t="str">
        <f t="shared" si="43"/>
        <v/>
      </c>
      <c r="AE330" s="114" t="str">
        <f t="shared" si="44"/>
        <v/>
      </c>
      <c r="AF330" s="115" t="str">
        <f t="shared" si="45"/>
        <v/>
      </c>
      <c r="AG330" s="116" t="str">
        <f t="shared" si="46"/>
        <v/>
      </c>
    </row>
    <row r="331" spans="1:33" x14ac:dyDescent="0.25">
      <c r="A331" s="16">
        <f t="shared" si="47"/>
        <v>328</v>
      </c>
      <c r="B331" s="31" t="str">
        <f t="shared" si="48"/>
        <v/>
      </c>
      <c r="C331" s="66" t="str">
        <f t="shared" si="42"/>
        <v/>
      </c>
      <c r="D331" s="92"/>
      <c r="E331" s="93"/>
      <c r="F331" s="93"/>
      <c r="G331" s="93"/>
      <c r="H331" s="94"/>
      <c r="I331" s="93"/>
      <c r="J331" s="93"/>
      <c r="K331" s="93"/>
      <c r="L331" s="93"/>
      <c r="M331" s="93"/>
      <c r="N331" s="95"/>
      <c r="O331" s="95" t="str">
        <f>IF(N331="","",IF('Event Dataset'!N331&lt;='Drop Downs and Assumptions'!$K$2,'Drop Downs and Assumptions'!$L$2,IF(AND('Event Dataset'!N331&gt;='Drop Downs and Assumptions'!$J$3,'Event Dataset'!N331&lt;='Drop Downs and Assumptions'!$K$3),'Drop Downs and Assumptions'!$L$3,IF(AND('Event Dataset'!N331&gt;='Drop Downs and Assumptions'!$J$4,'Event Dataset'!N331&lt;='Drop Downs and Assumptions'!$K$4),'Drop Downs and Assumptions'!$L$4,IF('Event Dataset'!N331&gt;='Drop Downs and Assumptions'!$J$5,'Drop Downs and Assumptions'!$L$5,"")))))</f>
        <v/>
      </c>
      <c r="P331" s="96"/>
      <c r="Q331" s="97"/>
      <c r="R331" s="98"/>
      <c r="S331" s="99"/>
      <c r="T331" s="99"/>
      <c r="U331" s="99"/>
      <c r="V331" s="99"/>
      <c r="W331" s="99"/>
      <c r="X331" s="99"/>
      <c r="Y331" s="99"/>
      <c r="Z331" s="99"/>
      <c r="AA331" s="99"/>
      <c r="AB331" s="99"/>
      <c r="AC331" s="100"/>
      <c r="AD331" s="101" t="str">
        <f t="shared" si="43"/>
        <v/>
      </c>
      <c r="AE331" s="102" t="str">
        <f t="shared" si="44"/>
        <v/>
      </c>
      <c r="AF331" s="103" t="str">
        <f t="shared" si="45"/>
        <v/>
      </c>
      <c r="AG331" s="104" t="str">
        <f t="shared" si="46"/>
        <v/>
      </c>
    </row>
    <row r="332" spans="1:33" x14ac:dyDescent="0.25">
      <c r="A332" s="4">
        <f t="shared" si="47"/>
        <v>329</v>
      </c>
      <c r="B332" s="30" t="str">
        <f t="shared" si="48"/>
        <v/>
      </c>
      <c r="C332" s="67" t="str">
        <f t="shared" si="42"/>
        <v/>
      </c>
      <c r="D332" s="105"/>
      <c r="E332" s="106"/>
      <c r="F332" s="106"/>
      <c r="G332" s="106"/>
      <c r="H332" s="107"/>
      <c r="I332" s="106"/>
      <c r="J332" s="106"/>
      <c r="K332" s="106"/>
      <c r="L332" s="106"/>
      <c r="M332" s="106"/>
      <c r="N332" s="108"/>
      <c r="O332" s="108" t="str">
        <f>IF(N332="","",IF('Event Dataset'!N332&lt;='Drop Downs and Assumptions'!$K$2,'Drop Downs and Assumptions'!$L$2,IF(AND('Event Dataset'!N332&gt;='Drop Downs and Assumptions'!$J$3,'Event Dataset'!N332&lt;='Drop Downs and Assumptions'!$K$3),'Drop Downs and Assumptions'!$L$3,IF(AND('Event Dataset'!N332&gt;='Drop Downs and Assumptions'!$J$4,'Event Dataset'!N332&lt;='Drop Downs and Assumptions'!$K$4),'Drop Downs and Assumptions'!$L$4,IF('Event Dataset'!N332&gt;='Drop Downs and Assumptions'!$J$5,'Drop Downs and Assumptions'!$L$5,"")))))</f>
        <v/>
      </c>
      <c r="P332" s="109"/>
      <c r="Q332" s="97"/>
      <c r="R332" s="110"/>
      <c r="S332" s="111"/>
      <c r="T332" s="111"/>
      <c r="U332" s="111"/>
      <c r="V332" s="111"/>
      <c r="W332" s="111"/>
      <c r="X332" s="111"/>
      <c r="Y332" s="111"/>
      <c r="Z332" s="111"/>
      <c r="AA332" s="111"/>
      <c r="AB332" s="111"/>
      <c r="AC332" s="112"/>
      <c r="AD332" s="113" t="str">
        <f t="shared" si="43"/>
        <v/>
      </c>
      <c r="AE332" s="114" t="str">
        <f t="shared" si="44"/>
        <v/>
      </c>
      <c r="AF332" s="115" t="str">
        <f t="shared" si="45"/>
        <v/>
      </c>
      <c r="AG332" s="116" t="str">
        <f t="shared" si="46"/>
        <v/>
      </c>
    </row>
    <row r="333" spans="1:33" x14ac:dyDescent="0.25">
      <c r="A333" s="16">
        <f t="shared" si="47"/>
        <v>330</v>
      </c>
      <c r="B333" s="31" t="str">
        <f t="shared" si="48"/>
        <v/>
      </c>
      <c r="C333" s="66" t="str">
        <f t="shared" si="42"/>
        <v/>
      </c>
      <c r="D333" s="92"/>
      <c r="E333" s="93"/>
      <c r="F333" s="93"/>
      <c r="G333" s="93"/>
      <c r="H333" s="94"/>
      <c r="I333" s="93"/>
      <c r="J333" s="93"/>
      <c r="K333" s="93"/>
      <c r="L333" s="93"/>
      <c r="M333" s="93"/>
      <c r="N333" s="95"/>
      <c r="O333" s="95" t="str">
        <f>IF(N333="","",IF('Event Dataset'!N333&lt;='Drop Downs and Assumptions'!$K$2,'Drop Downs and Assumptions'!$L$2,IF(AND('Event Dataset'!N333&gt;='Drop Downs and Assumptions'!$J$3,'Event Dataset'!N333&lt;='Drop Downs and Assumptions'!$K$3),'Drop Downs and Assumptions'!$L$3,IF(AND('Event Dataset'!N333&gt;='Drop Downs and Assumptions'!$J$4,'Event Dataset'!N333&lt;='Drop Downs and Assumptions'!$K$4),'Drop Downs and Assumptions'!$L$4,IF('Event Dataset'!N333&gt;='Drop Downs and Assumptions'!$J$5,'Drop Downs and Assumptions'!$L$5,"")))))</f>
        <v/>
      </c>
      <c r="P333" s="96"/>
      <c r="Q333" s="97"/>
      <c r="R333" s="98"/>
      <c r="S333" s="99"/>
      <c r="T333" s="99"/>
      <c r="U333" s="99"/>
      <c r="V333" s="99"/>
      <c r="W333" s="99"/>
      <c r="X333" s="99"/>
      <c r="Y333" s="99"/>
      <c r="Z333" s="99"/>
      <c r="AA333" s="99"/>
      <c r="AB333" s="99"/>
      <c r="AC333" s="100"/>
      <c r="AD333" s="101" t="str">
        <f t="shared" si="43"/>
        <v/>
      </c>
      <c r="AE333" s="102" t="str">
        <f t="shared" si="44"/>
        <v/>
      </c>
      <c r="AF333" s="103" t="str">
        <f t="shared" si="45"/>
        <v/>
      </c>
      <c r="AG333" s="104" t="str">
        <f t="shared" si="46"/>
        <v/>
      </c>
    </row>
    <row r="334" spans="1:33" x14ac:dyDescent="0.25">
      <c r="A334" s="4">
        <f t="shared" si="47"/>
        <v>331</v>
      </c>
      <c r="B334" s="30" t="str">
        <f t="shared" si="48"/>
        <v/>
      </c>
      <c r="C334" s="67" t="str">
        <f t="shared" si="42"/>
        <v/>
      </c>
      <c r="D334" s="105"/>
      <c r="E334" s="106"/>
      <c r="F334" s="106"/>
      <c r="G334" s="106"/>
      <c r="H334" s="107"/>
      <c r="I334" s="106"/>
      <c r="J334" s="106"/>
      <c r="K334" s="106"/>
      <c r="L334" s="106"/>
      <c r="M334" s="106"/>
      <c r="N334" s="108"/>
      <c r="O334" s="108" t="str">
        <f>IF(N334="","",IF('Event Dataset'!N334&lt;='Drop Downs and Assumptions'!$K$2,'Drop Downs and Assumptions'!$L$2,IF(AND('Event Dataset'!N334&gt;='Drop Downs and Assumptions'!$J$3,'Event Dataset'!N334&lt;='Drop Downs and Assumptions'!$K$3),'Drop Downs and Assumptions'!$L$3,IF(AND('Event Dataset'!N334&gt;='Drop Downs and Assumptions'!$J$4,'Event Dataset'!N334&lt;='Drop Downs and Assumptions'!$K$4),'Drop Downs and Assumptions'!$L$4,IF('Event Dataset'!N334&gt;='Drop Downs and Assumptions'!$J$5,'Drop Downs and Assumptions'!$L$5,"")))))</f>
        <v/>
      </c>
      <c r="P334" s="109"/>
      <c r="Q334" s="97"/>
      <c r="R334" s="110"/>
      <c r="S334" s="111"/>
      <c r="T334" s="111"/>
      <c r="U334" s="111"/>
      <c r="V334" s="111"/>
      <c r="W334" s="111"/>
      <c r="X334" s="111"/>
      <c r="Y334" s="111"/>
      <c r="Z334" s="111"/>
      <c r="AA334" s="111"/>
      <c r="AB334" s="111"/>
      <c r="AC334" s="112"/>
      <c r="AD334" s="113" t="str">
        <f t="shared" si="43"/>
        <v/>
      </c>
      <c r="AE334" s="114" t="str">
        <f t="shared" si="44"/>
        <v/>
      </c>
      <c r="AF334" s="115" t="str">
        <f t="shared" si="45"/>
        <v/>
      </c>
      <c r="AG334" s="116" t="str">
        <f t="shared" si="46"/>
        <v/>
      </c>
    </row>
    <row r="335" spans="1:33" x14ac:dyDescent="0.25">
      <c r="A335" s="16">
        <f t="shared" si="47"/>
        <v>332</v>
      </c>
      <c r="B335" s="31" t="str">
        <f t="shared" si="48"/>
        <v/>
      </c>
      <c r="C335" s="66" t="str">
        <f t="shared" si="42"/>
        <v/>
      </c>
      <c r="D335" s="92"/>
      <c r="E335" s="93"/>
      <c r="F335" s="93"/>
      <c r="G335" s="93"/>
      <c r="H335" s="94"/>
      <c r="I335" s="93"/>
      <c r="J335" s="93"/>
      <c r="K335" s="93"/>
      <c r="L335" s="93"/>
      <c r="M335" s="93"/>
      <c r="N335" s="95"/>
      <c r="O335" s="95" t="str">
        <f>IF(N335="","",IF('Event Dataset'!N335&lt;='Drop Downs and Assumptions'!$K$2,'Drop Downs and Assumptions'!$L$2,IF(AND('Event Dataset'!N335&gt;='Drop Downs and Assumptions'!$J$3,'Event Dataset'!N335&lt;='Drop Downs and Assumptions'!$K$3),'Drop Downs and Assumptions'!$L$3,IF(AND('Event Dataset'!N335&gt;='Drop Downs and Assumptions'!$J$4,'Event Dataset'!N335&lt;='Drop Downs and Assumptions'!$K$4),'Drop Downs and Assumptions'!$L$4,IF('Event Dataset'!N335&gt;='Drop Downs and Assumptions'!$J$5,'Drop Downs and Assumptions'!$L$5,"")))))</f>
        <v/>
      </c>
      <c r="P335" s="96"/>
      <c r="Q335" s="97"/>
      <c r="R335" s="98"/>
      <c r="S335" s="99"/>
      <c r="T335" s="99"/>
      <c r="U335" s="99"/>
      <c r="V335" s="99"/>
      <c r="W335" s="99"/>
      <c r="X335" s="99"/>
      <c r="Y335" s="99"/>
      <c r="Z335" s="99"/>
      <c r="AA335" s="99"/>
      <c r="AB335" s="99"/>
      <c r="AC335" s="100"/>
      <c r="AD335" s="101" t="str">
        <f t="shared" si="43"/>
        <v/>
      </c>
      <c r="AE335" s="102" t="str">
        <f t="shared" si="44"/>
        <v/>
      </c>
      <c r="AF335" s="103" t="str">
        <f t="shared" si="45"/>
        <v/>
      </c>
      <c r="AG335" s="104" t="str">
        <f t="shared" si="46"/>
        <v/>
      </c>
    </row>
    <row r="336" spans="1:33" x14ac:dyDescent="0.25">
      <c r="A336" s="4">
        <f t="shared" si="47"/>
        <v>333</v>
      </c>
      <c r="B336" s="30" t="str">
        <f t="shared" si="48"/>
        <v/>
      </c>
      <c r="C336" s="67" t="str">
        <f t="shared" si="42"/>
        <v/>
      </c>
      <c r="D336" s="105"/>
      <c r="E336" s="106"/>
      <c r="F336" s="106"/>
      <c r="G336" s="106"/>
      <c r="H336" s="107"/>
      <c r="I336" s="106"/>
      <c r="J336" s="106"/>
      <c r="K336" s="106"/>
      <c r="L336" s="106"/>
      <c r="M336" s="106"/>
      <c r="N336" s="108"/>
      <c r="O336" s="108" t="str">
        <f>IF(N336="","",IF('Event Dataset'!N336&lt;='Drop Downs and Assumptions'!$K$2,'Drop Downs and Assumptions'!$L$2,IF(AND('Event Dataset'!N336&gt;='Drop Downs and Assumptions'!$J$3,'Event Dataset'!N336&lt;='Drop Downs and Assumptions'!$K$3),'Drop Downs and Assumptions'!$L$3,IF(AND('Event Dataset'!N336&gt;='Drop Downs and Assumptions'!$J$4,'Event Dataset'!N336&lt;='Drop Downs and Assumptions'!$K$4),'Drop Downs and Assumptions'!$L$4,IF('Event Dataset'!N336&gt;='Drop Downs and Assumptions'!$J$5,'Drop Downs and Assumptions'!$L$5,"")))))</f>
        <v/>
      </c>
      <c r="P336" s="109"/>
      <c r="Q336" s="97"/>
      <c r="R336" s="110"/>
      <c r="S336" s="111"/>
      <c r="T336" s="111"/>
      <c r="U336" s="111"/>
      <c r="V336" s="111"/>
      <c r="W336" s="111"/>
      <c r="X336" s="111"/>
      <c r="Y336" s="111"/>
      <c r="Z336" s="111"/>
      <c r="AA336" s="111"/>
      <c r="AB336" s="111"/>
      <c r="AC336" s="112"/>
      <c r="AD336" s="113" t="str">
        <f t="shared" si="43"/>
        <v/>
      </c>
      <c r="AE336" s="114" t="str">
        <f t="shared" si="44"/>
        <v/>
      </c>
      <c r="AF336" s="115" t="str">
        <f t="shared" si="45"/>
        <v/>
      </c>
      <c r="AG336" s="116" t="str">
        <f t="shared" si="46"/>
        <v/>
      </c>
    </row>
    <row r="337" spans="1:33" x14ac:dyDescent="0.25">
      <c r="A337" s="16">
        <f t="shared" si="47"/>
        <v>334</v>
      </c>
      <c r="B337" s="31" t="str">
        <f t="shared" si="48"/>
        <v/>
      </c>
      <c r="C337" s="66" t="str">
        <f t="shared" si="42"/>
        <v/>
      </c>
      <c r="D337" s="92"/>
      <c r="E337" s="93"/>
      <c r="F337" s="93"/>
      <c r="G337" s="93"/>
      <c r="H337" s="94"/>
      <c r="I337" s="93"/>
      <c r="J337" s="93"/>
      <c r="K337" s="93"/>
      <c r="L337" s="93"/>
      <c r="M337" s="93"/>
      <c r="N337" s="95"/>
      <c r="O337" s="95" t="str">
        <f>IF(N337="","",IF('Event Dataset'!N337&lt;='Drop Downs and Assumptions'!$K$2,'Drop Downs and Assumptions'!$L$2,IF(AND('Event Dataset'!N337&gt;='Drop Downs and Assumptions'!$J$3,'Event Dataset'!N337&lt;='Drop Downs and Assumptions'!$K$3),'Drop Downs and Assumptions'!$L$3,IF(AND('Event Dataset'!N337&gt;='Drop Downs and Assumptions'!$J$4,'Event Dataset'!N337&lt;='Drop Downs and Assumptions'!$K$4),'Drop Downs and Assumptions'!$L$4,IF('Event Dataset'!N337&gt;='Drop Downs and Assumptions'!$J$5,'Drop Downs and Assumptions'!$L$5,"")))))</f>
        <v/>
      </c>
      <c r="P337" s="96"/>
      <c r="Q337" s="97"/>
      <c r="R337" s="98"/>
      <c r="S337" s="99"/>
      <c r="T337" s="99"/>
      <c r="U337" s="99"/>
      <c r="V337" s="99"/>
      <c r="W337" s="99"/>
      <c r="X337" s="99"/>
      <c r="Y337" s="99"/>
      <c r="Z337" s="99"/>
      <c r="AA337" s="99"/>
      <c r="AB337" s="99"/>
      <c r="AC337" s="100"/>
      <c r="AD337" s="101" t="str">
        <f t="shared" si="43"/>
        <v/>
      </c>
      <c r="AE337" s="102" t="str">
        <f t="shared" si="44"/>
        <v/>
      </c>
      <c r="AF337" s="103" t="str">
        <f t="shared" si="45"/>
        <v/>
      </c>
      <c r="AG337" s="104" t="str">
        <f t="shared" si="46"/>
        <v/>
      </c>
    </row>
    <row r="338" spans="1:33" x14ac:dyDescent="0.25">
      <c r="A338" s="4">
        <f t="shared" si="47"/>
        <v>335</v>
      </c>
      <c r="B338" s="30" t="str">
        <f t="shared" si="48"/>
        <v/>
      </c>
      <c r="C338" s="67" t="str">
        <f t="shared" si="42"/>
        <v/>
      </c>
      <c r="D338" s="105"/>
      <c r="E338" s="106"/>
      <c r="F338" s="106"/>
      <c r="G338" s="106"/>
      <c r="H338" s="107"/>
      <c r="I338" s="106"/>
      <c r="J338" s="106"/>
      <c r="K338" s="106"/>
      <c r="L338" s="106"/>
      <c r="M338" s="106"/>
      <c r="N338" s="108"/>
      <c r="O338" s="108" t="str">
        <f>IF(N338="","",IF('Event Dataset'!N338&lt;='Drop Downs and Assumptions'!$K$2,'Drop Downs and Assumptions'!$L$2,IF(AND('Event Dataset'!N338&gt;='Drop Downs and Assumptions'!$J$3,'Event Dataset'!N338&lt;='Drop Downs and Assumptions'!$K$3),'Drop Downs and Assumptions'!$L$3,IF(AND('Event Dataset'!N338&gt;='Drop Downs and Assumptions'!$J$4,'Event Dataset'!N338&lt;='Drop Downs and Assumptions'!$K$4),'Drop Downs and Assumptions'!$L$4,IF('Event Dataset'!N338&gt;='Drop Downs and Assumptions'!$J$5,'Drop Downs and Assumptions'!$L$5,"")))))</f>
        <v/>
      </c>
      <c r="P338" s="109"/>
      <c r="Q338" s="97"/>
      <c r="R338" s="110"/>
      <c r="S338" s="111"/>
      <c r="T338" s="111"/>
      <c r="U338" s="111"/>
      <c r="V338" s="111"/>
      <c r="W338" s="111"/>
      <c r="X338" s="111"/>
      <c r="Y338" s="111"/>
      <c r="Z338" s="111"/>
      <c r="AA338" s="111"/>
      <c r="AB338" s="111"/>
      <c r="AC338" s="112"/>
      <c r="AD338" s="113" t="str">
        <f t="shared" si="43"/>
        <v/>
      </c>
      <c r="AE338" s="114" t="str">
        <f t="shared" si="44"/>
        <v/>
      </c>
      <c r="AF338" s="115" t="str">
        <f t="shared" si="45"/>
        <v/>
      </c>
      <c r="AG338" s="116" t="str">
        <f t="shared" si="46"/>
        <v/>
      </c>
    </row>
    <row r="339" spans="1:33" x14ac:dyDescent="0.25">
      <c r="A339" s="16">
        <f t="shared" si="47"/>
        <v>336</v>
      </c>
      <c r="B339" s="31" t="str">
        <f t="shared" si="48"/>
        <v/>
      </c>
      <c r="C339" s="66" t="str">
        <f t="shared" si="42"/>
        <v/>
      </c>
      <c r="D339" s="92"/>
      <c r="E339" s="93"/>
      <c r="F339" s="93"/>
      <c r="G339" s="93"/>
      <c r="H339" s="94"/>
      <c r="I339" s="93"/>
      <c r="J339" s="93"/>
      <c r="K339" s="93"/>
      <c r="L339" s="93"/>
      <c r="M339" s="93"/>
      <c r="N339" s="95"/>
      <c r="O339" s="95" t="str">
        <f>IF(N339="","",IF('Event Dataset'!N339&lt;='Drop Downs and Assumptions'!$K$2,'Drop Downs and Assumptions'!$L$2,IF(AND('Event Dataset'!N339&gt;='Drop Downs and Assumptions'!$J$3,'Event Dataset'!N339&lt;='Drop Downs and Assumptions'!$K$3),'Drop Downs and Assumptions'!$L$3,IF(AND('Event Dataset'!N339&gt;='Drop Downs and Assumptions'!$J$4,'Event Dataset'!N339&lt;='Drop Downs and Assumptions'!$K$4),'Drop Downs and Assumptions'!$L$4,IF('Event Dataset'!N339&gt;='Drop Downs and Assumptions'!$J$5,'Drop Downs and Assumptions'!$L$5,"")))))</f>
        <v/>
      </c>
      <c r="P339" s="96"/>
      <c r="Q339" s="97"/>
      <c r="R339" s="98"/>
      <c r="S339" s="99"/>
      <c r="T339" s="99"/>
      <c r="U339" s="99"/>
      <c r="V339" s="99"/>
      <c r="W339" s="99"/>
      <c r="X339" s="99"/>
      <c r="Y339" s="99"/>
      <c r="Z339" s="99"/>
      <c r="AA339" s="99"/>
      <c r="AB339" s="99"/>
      <c r="AC339" s="100"/>
      <c r="AD339" s="101" t="str">
        <f t="shared" si="43"/>
        <v/>
      </c>
      <c r="AE339" s="102" t="str">
        <f t="shared" si="44"/>
        <v/>
      </c>
      <c r="AF339" s="103" t="str">
        <f t="shared" si="45"/>
        <v/>
      </c>
      <c r="AG339" s="104" t="str">
        <f t="shared" si="46"/>
        <v/>
      </c>
    </row>
    <row r="340" spans="1:33" x14ac:dyDescent="0.25">
      <c r="A340" s="4">
        <f t="shared" si="47"/>
        <v>337</v>
      </c>
      <c r="B340" s="30" t="str">
        <f t="shared" si="48"/>
        <v/>
      </c>
      <c r="C340" s="67" t="str">
        <f t="shared" si="42"/>
        <v/>
      </c>
      <c r="D340" s="105"/>
      <c r="E340" s="106"/>
      <c r="F340" s="106"/>
      <c r="G340" s="106"/>
      <c r="H340" s="107"/>
      <c r="I340" s="106"/>
      <c r="J340" s="106"/>
      <c r="K340" s="106"/>
      <c r="L340" s="106"/>
      <c r="M340" s="106"/>
      <c r="N340" s="108"/>
      <c r="O340" s="108" t="str">
        <f>IF(N340="","",IF('Event Dataset'!N340&lt;='Drop Downs and Assumptions'!$K$2,'Drop Downs and Assumptions'!$L$2,IF(AND('Event Dataset'!N340&gt;='Drop Downs and Assumptions'!$J$3,'Event Dataset'!N340&lt;='Drop Downs and Assumptions'!$K$3),'Drop Downs and Assumptions'!$L$3,IF(AND('Event Dataset'!N340&gt;='Drop Downs and Assumptions'!$J$4,'Event Dataset'!N340&lt;='Drop Downs and Assumptions'!$K$4),'Drop Downs and Assumptions'!$L$4,IF('Event Dataset'!N340&gt;='Drop Downs and Assumptions'!$J$5,'Drop Downs and Assumptions'!$L$5,"")))))</f>
        <v/>
      </c>
      <c r="P340" s="109"/>
      <c r="Q340" s="97"/>
      <c r="R340" s="110"/>
      <c r="S340" s="111"/>
      <c r="T340" s="111"/>
      <c r="U340" s="111"/>
      <c r="V340" s="111"/>
      <c r="W340" s="111"/>
      <c r="X340" s="111"/>
      <c r="Y340" s="111"/>
      <c r="Z340" s="111"/>
      <c r="AA340" s="111"/>
      <c r="AB340" s="111"/>
      <c r="AC340" s="112"/>
      <c r="AD340" s="113" t="str">
        <f t="shared" si="43"/>
        <v/>
      </c>
      <c r="AE340" s="114" t="str">
        <f t="shared" si="44"/>
        <v/>
      </c>
      <c r="AF340" s="115" t="str">
        <f t="shared" si="45"/>
        <v/>
      </c>
      <c r="AG340" s="116" t="str">
        <f t="shared" si="46"/>
        <v/>
      </c>
    </row>
    <row r="341" spans="1:33" x14ac:dyDescent="0.25">
      <c r="A341" s="16">
        <f t="shared" si="47"/>
        <v>338</v>
      </c>
      <c r="B341" s="31" t="str">
        <f t="shared" si="48"/>
        <v/>
      </c>
      <c r="C341" s="66" t="str">
        <f t="shared" si="42"/>
        <v/>
      </c>
      <c r="D341" s="92"/>
      <c r="E341" s="93"/>
      <c r="F341" s="93"/>
      <c r="G341" s="93"/>
      <c r="H341" s="94"/>
      <c r="I341" s="93"/>
      <c r="J341" s="93"/>
      <c r="K341" s="93"/>
      <c r="L341" s="93"/>
      <c r="M341" s="93"/>
      <c r="N341" s="95"/>
      <c r="O341" s="95" t="str">
        <f>IF(N341="","",IF('Event Dataset'!N341&lt;='Drop Downs and Assumptions'!$K$2,'Drop Downs and Assumptions'!$L$2,IF(AND('Event Dataset'!N341&gt;='Drop Downs and Assumptions'!$J$3,'Event Dataset'!N341&lt;='Drop Downs and Assumptions'!$K$3),'Drop Downs and Assumptions'!$L$3,IF(AND('Event Dataset'!N341&gt;='Drop Downs and Assumptions'!$J$4,'Event Dataset'!N341&lt;='Drop Downs and Assumptions'!$K$4),'Drop Downs and Assumptions'!$L$4,IF('Event Dataset'!N341&gt;='Drop Downs and Assumptions'!$J$5,'Drop Downs and Assumptions'!$L$5,"")))))</f>
        <v/>
      </c>
      <c r="P341" s="96"/>
      <c r="Q341" s="97"/>
      <c r="R341" s="98"/>
      <c r="S341" s="99"/>
      <c r="T341" s="99"/>
      <c r="U341" s="99"/>
      <c r="V341" s="99"/>
      <c r="W341" s="99"/>
      <c r="X341" s="99"/>
      <c r="Y341" s="99"/>
      <c r="Z341" s="99"/>
      <c r="AA341" s="99"/>
      <c r="AB341" s="99"/>
      <c r="AC341" s="100"/>
      <c r="AD341" s="101" t="str">
        <f t="shared" si="43"/>
        <v/>
      </c>
      <c r="AE341" s="102" t="str">
        <f t="shared" si="44"/>
        <v/>
      </c>
      <c r="AF341" s="103" t="str">
        <f t="shared" si="45"/>
        <v/>
      </c>
      <c r="AG341" s="104" t="str">
        <f t="shared" si="46"/>
        <v/>
      </c>
    </row>
    <row r="342" spans="1:33" x14ac:dyDescent="0.25">
      <c r="A342" s="4">
        <f t="shared" si="47"/>
        <v>339</v>
      </c>
      <c r="B342" s="30" t="str">
        <f t="shared" si="48"/>
        <v/>
      </c>
      <c r="C342" s="67" t="str">
        <f t="shared" si="42"/>
        <v/>
      </c>
      <c r="D342" s="105"/>
      <c r="E342" s="106"/>
      <c r="F342" s="106"/>
      <c r="G342" s="106"/>
      <c r="H342" s="107"/>
      <c r="I342" s="106"/>
      <c r="J342" s="106"/>
      <c r="K342" s="106"/>
      <c r="L342" s="106"/>
      <c r="M342" s="106"/>
      <c r="N342" s="108"/>
      <c r="O342" s="108" t="str">
        <f>IF(N342="","",IF('Event Dataset'!N342&lt;='Drop Downs and Assumptions'!$K$2,'Drop Downs and Assumptions'!$L$2,IF(AND('Event Dataset'!N342&gt;='Drop Downs and Assumptions'!$J$3,'Event Dataset'!N342&lt;='Drop Downs and Assumptions'!$K$3),'Drop Downs and Assumptions'!$L$3,IF(AND('Event Dataset'!N342&gt;='Drop Downs and Assumptions'!$J$4,'Event Dataset'!N342&lt;='Drop Downs and Assumptions'!$K$4),'Drop Downs and Assumptions'!$L$4,IF('Event Dataset'!N342&gt;='Drop Downs and Assumptions'!$J$5,'Drop Downs and Assumptions'!$L$5,"")))))</f>
        <v/>
      </c>
      <c r="P342" s="109"/>
      <c r="Q342" s="97"/>
      <c r="R342" s="110"/>
      <c r="S342" s="111"/>
      <c r="T342" s="111"/>
      <c r="U342" s="111"/>
      <c r="V342" s="111"/>
      <c r="W342" s="111"/>
      <c r="X342" s="111"/>
      <c r="Y342" s="111"/>
      <c r="Z342" s="111"/>
      <c r="AA342" s="111"/>
      <c r="AB342" s="111"/>
      <c r="AC342" s="112"/>
      <c r="AD342" s="113" t="str">
        <f t="shared" si="43"/>
        <v/>
      </c>
      <c r="AE342" s="114" t="str">
        <f t="shared" si="44"/>
        <v/>
      </c>
      <c r="AF342" s="115" t="str">
        <f t="shared" si="45"/>
        <v/>
      </c>
      <c r="AG342" s="116" t="str">
        <f t="shared" si="46"/>
        <v/>
      </c>
    </row>
    <row r="343" spans="1:33" x14ac:dyDescent="0.25">
      <c r="A343" s="16">
        <f t="shared" si="47"/>
        <v>340</v>
      </c>
      <c r="B343" s="31" t="str">
        <f t="shared" si="48"/>
        <v/>
      </c>
      <c r="C343" s="66" t="str">
        <f t="shared" si="42"/>
        <v/>
      </c>
      <c r="D343" s="92"/>
      <c r="E343" s="93"/>
      <c r="F343" s="93"/>
      <c r="G343" s="93"/>
      <c r="H343" s="94"/>
      <c r="I343" s="93"/>
      <c r="J343" s="93"/>
      <c r="K343" s="93"/>
      <c r="L343" s="93"/>
      <c r="M343" s="93"/>
      <c r="N343" s="95"/>
      <c r="O343" s="95" t="str">
        <f>IF(N343="","",IF('Event Dataset'!N343&lt;='Drop Downs and Assumptions'!$K$2,'Drop Downs and Assumptions'!$L$2,IF(AND('Event Dataset'!N343&gt;='Drop Downs and Assumptions'!$J$3,'Event Dataset'!N343&lt;='Drop Downs and Assumptions'!$K$3),'Drop Downs and Assumptions'!$L$3,IF(AND('Event Dataset'!N343&gt;='Drop Downs and Assumptions'!$J$4,'Event Dataset'!N343&lt;='Drop Downs and Assumptions'!$K$4),'Drop Downs and Assumptions'!$L$4,IF('Event Dataset'!N343&gt;='Drop Downs and Assumptions'!$J$5,'Drop Downs and Assumptions'!$L$5,"")))))</f>
        <v/>
      </c>
      <c r="P343" s="96"/>
      <c r="Q343" s="97"/>
      <c r="R343" s="98"/>
      <c r="S343" s="99"/>
      <c r="T343" s="99"/>
      <c r="U343" s="99"/>
      <c r="V343" s="99"/>
      <c r="W343" s="99"/>
      <c r="X343" s="99"/>
      <c r="Y343" s="99"/>
      <c r="Z343" s="99"/>
      <c r="AA343" s="99"/>
      <c r="AB343" s="99"/>
      <c r="AC343" s="100"/>
      <c r="AD343" s="101" t="str">
        <f t="shared" si="43"/>
        <v/>
      </c>
      <c r="AE343" s="102" t="str">
        <f t="shared" si="44"/>
        <v/>
      </c>
      <c r="AF343" s="103" t="str">
        <f t="shared" si="45"/>
        <v/>
      </c>
      <c r="AG343" s="104" t="str">
        <f t="shared" si="46"/>
        <v/>
      </c>
    </row>
    <row r="344" spans="1:33" x14ac:dyDescent="0.25">
      <c r="A344" s="4">
        <f t="shared" si="47"/>
        <v>341</v>
      </c>
      <c r="B344" s="30" t="str">
        <f t="shared" si="48"/>
        <v/>
      </c>
      <c r="C344" s="67" t="str">
        <f t="shared" si="42"/>
        <v/>
      </c>
      <c r="D344" s="105"/>
      <c r="E344" s="106"/>
      <c r="F344" s="106"/>
      <c r="G344" s="106"/>
      <c r="H344" s="107"/>
      <c r="I344" s="106"/>
      <c r="J344" s="106"/>
      <c r="K344" s="106"/>
      <c r="L344" s="106"/>
      <c r="M344" s="106"/>
      <c r="N344" s="108"/>
      <c r="O344" s="108" t="str">
        <f>IF(N344="","",IF('Event Dataset'!N344&lt;='Drop Downs and Assumptions'!$K$2,'Drop Downs and Assumptions'!$L$2,IF(AND('Event Dataset'!N344&gt;='Drop Downs and Assumptions'!$J$3,'Event Dataset'!N344&lt;='Drop Downs and Assumptions'!$K$3),'Drop Downs and Assumptions'!$L$3,IF(AND('Event Dataset'!N344&gt;='Drop Downs and Assumptions'!$J$4,'Event Dataset'!N344&lt;='Drop Downs and Assumptions'!$K$4),'Drop Downs and Assumptions'!$L$4,IF('Event Dataset'!N344&gt;='Drop Downs and Assumptions'!$J$5,'Drop Downs and Assumptions'!$L$5,"")))))</f>
        <v/>
      </c>
      <c r="P344" s="109"/>
      <c r="Q344" s="97"/>
      <c r="R344" s="110"/>
      <c r="S344" s="111"/>
      <c r="T344" s="111"/>
      <c r="U344" s="111"/>
      <c r="V344" s="111"/>
      <c r="W344" s="111"/>
      <c r="X344" s="111"/>
      <c r="Y344" s="111"/>
      <c r="Z344" s="111"/>
      <c r="AA344" s="111"/>
      <c r="AB344" s="111"/>
      <c r="AC344" s="112"/>
      <c r="AD344" s="113" t="str">
        <f t="shared" si="43"/>
        <v/>
      </c>
      <c r="AE344" s="114" t="str">
        <f t="shared" si="44"/>
        <v/>
      </c>
      <c r="AF344" s="115" t="str">
        <f t="shared" si="45"/>
        <v/>
      </c>
      <c r="AG344" s="116" t="str">
        <f t="shared" si="46"/>
        <v/>
      </c>
    </row>
    <row r="345" spans="1:33" x14ac:dyDescent="0.25">
      <c r="A345" s="16">
        <f t="shared" si="47"/>
        <v>342</v>
      </c>
      <c r="B345" s="31" t="str">
        <f t="shared" si="48"/>
        <v/>
      </c>
      <c r="C345" s="66" t="str">
        <f t="shared" si="42"/>
        <v/>
      </c>
      <c r="D345" s="92"/>
      <c r="E345" s="93"/>
      <c r="F345" s="93"/>
      <c r="G345" s="93"/>
      <c r="H345" s="94"/>
      <c r="I345" s="93"/>
      <c r="J345" s="93"/>
      <c r="K345" s="93"/>
      <c r="L345" s="93"/>
      <c r="M345" s="93"/>
      <c r="N345" s="95"/>
      <c r="O345" s="95" t="str">
        <f>IF(N345="","",IF('Event Dataset'!N345&lt;='Drop Downs and Assumptions'!$K$2,'Drop Downs and Assumptions'!$L$2,IF(AND('Event Dataset'!N345&gt;='Drop Downs and Assumptions'!$J$3,'Event Dataset'!N345&lt;='Drop Downs and Assumptions'!$K$3),'Drop Downs and Assumptions'!$L$3,IF(AND('Event Dataset'!N345&gt;='Drop Downs and Assumptions'!$J$4,'Event Dataset'!N345&lt;='Drop Downs and Assumptions'!$K$4),'Drop Downs and Assumptions'!$L$4,IF('Event Dataset'!N345&gt;='Drop Downs and Assumptions'!$J$5,'Drop Downs and Assumptions'!$L$5,"")))))</f>
        <v/>
      </c>
      <c r="P345" s="96"/>
      <c r="Q345" s="97"/>
      <c r="R345" s="98"/>
      <c r="S345" s="99"/>
      <c r="T345" s="99"/>
      <c r="U345" s="99"/>
      <c r="V345" s="99"/>
      <c r="W345" s="99"/>
      <c r="X345" s="99"/>
      <c r="Y345" s="99"/>
      <c r="Z345" s="99"/>
      <c r="AA345" s="99"/>
      <c r="AB345" s="99"/>
      <c r="AC345" s="100"/>
      <c r="AD345" s="101" t="str">
        <f t="shared" si="43"/>
        <v/>
      </c>
      <c r="AE345" s="102" t="str">
        <f t="shared" si="44"/>
        <v/>
      </c>
      <c r="AF345" s="103" t="str">
        <f t="shared" si="45"/>
        <v/>
      </c>
      <c r="AG345" s="104" t="str">
        <f t="shared" si="46"/>
        <v/>
      </c>
    </row>
    <row r="346" spans="1:33" x14ac:dyDescent="0.25">
      <c r="A346" s="4">
        <f t="shared" si="47"/>
        <v>343</v>
      </c>
      <c r="B346" s="30" t="str">
        <f t="shared" si="48"/>
        <v/>
      </c>
      <c r="C346" s="67" t="str">
        <f t="shared" si="42"/>
        <v/>
      </c>
      <c r="D346" s="105"/>
      <c r="E346" s="106"/>
      <c r="F346" s="106"/>
      <c r="G346" s="106"/>
      <c r="H346" s="107"/>
      <c r="I346" s="106"/>
      <c r="J346" s="106"/>
      <c r="K346" s="106"/>
      <c r="L346" s="106"/>
      <c r="M346" s="106"/>
      <c r="N346" s="108"/>
      <c r="O346" s="108" t="str">
        <f>IF(N346="","",IF('Event Dataset'!N346&lt;='Drop Downs and Assumptions'!$K$2,'Drop Downs and Assumptions'!$L$2,IF(AND('Event Dataset'!N346&gt;='Drop Downs and Assumptions'!$J$3,'Event Dataset'!N346&lt;='Drop Downs and Assumptions'!$K$3),'Drop Downs and Assumptions'!$L$3,IF(AND('Event Dataset'!N346&gt;='Drop Downs and Assumptions'!$J$4,'Event Dataset'!N346&lt;='Drop Downs and Assumptions'!$K$4),'Drop Downs and Assumptions'!$L$4,IF('Event Dataset'!N346&gt;='Drop Downs and Assumptions'!$J$5,'Drop Downs and Assumptions'!$L$5,"")))))</f>
        <v/>
      </c>
      <c r="P346" s="109"/>
      <c r="Q346" s="97"/>
      <c r="R346" s="110"/>
      <c r="S346" s="111"/>
      <c r="T346" s="111"/>
      <c r="U346" s="111"/>
      <c r="V346" s="111"/>
      <c r="W346" s="111"/>
      <c r="X346" s="111"/>
      <c r="Y346" s="111"/>
      <c r="Z346" s="111"/>
      <c r="AA346" s="111"/>
      <c r="AB346" s="111"/>
      <c r="AC346" s="112"/>
      <c r="AD346" s="113" t="str">
        <f t="shared" si="43"/>
        <v/>
      </c>
      <c r="AE346" s="114" t="str">
        <f t="shared" si="44"/>
        <v/>
      </c>
      <c r="AF346" s="115" t="str">
        <f t="shared" si="45"/>
        <v/>
      </c>
      <c r="AG346" s="116" t="str">
        <f t="shared" si="46"/>
        <v/>
      </c>
    </row>
    <row r="347" spans="1:33" x14ac:dyDescent="0.25">
      <c r="A347" s="16">
        <f t="shared" si="47"/>
        <v>344</v>
      </c>
      <c r="B347" s="31" t="str">
        <f t="shared" si="48"/>
        <v/>
      </c>
      <c r="C347" s="66" t="str">
        <f t="shared" si="42"/>
        <v/>
      </c>
      <c r="D347" s="92"/>
      <c r="E347" s="93"/>
      <c r="F347" s="93"/>
      <c r="G347" s="93"/>
      <c r="H347" s="94"/>
      <c r="I347" s="93"/>
      <c r="J347" s="93"/>
      <c r="K347" s="93"/>
      <c r="L347" s="93"/>
      <c r="M347" s="93"/>
      <c r="N347" s="95"/>
      <c r="O347" s="95" t="str">
        <f>IF(N347="","",IF('Event Dataset'!N347&lt;='Drop Downs and Assumptions'!$K$2,'Drop Downs and Assumptions'!$L$2,IF(AND('Event Dataset'!N347&gt;='Drop Downs and Assumptions'!$J$3,'Event Dataset'!N347&lt;='Drop Downs and Assumptions'!$K$3),'Drop Downs and Assumptions'!$L$3,IF(AND('Event Dataset'!N347&gt;='Drop Downs and Assumptions'!$J$4,'Event Dataset'!N347&lt;='Drop Downs and Assumptions'!$K$4),'Drop Downs and Assumptions'!$L$4,IF('Event Dataset'!N347&gt;='Drop Downs and Assumptions'!$J$5,'Drop Downs and Assumptions'!$L$5,"")))))</f>
        <v/>
      </c>
      <c r="P347" s="96"/>
      <c r="Q347" s="97"/>
      <c r="R347" s="98"/>
      <c r="S347" s="99"/>
      <c r="T347" s="99"/>
      <c r="U347" s="99"/>
      <c r="V347" s="99"/>
      <c r="W347" s="99"/>
      <c r="X347" s="99"/>
      <c r="Y347" s="99"/>
      <c r="Z347" s="99"/>
      <c r="AA347" s="99"/>
      <c r="AB347" s="99"/>
      <c r="AC347" s="100"/>
      <c r="AD347" s="101" t="str">
        <f t="shared" si="43"/>
        <v/>
      </c>
      <c r="AE347" s="102" t="str">
        <f t="shared" si="44"/>
        <v/>
      </c>
      <c r="AF347" s="103" t="str">
        <f t="shared" si="45"/>
        <v/>
      </c>
      <c r="AG347" s="104" t="str">
        <f t="shared" si="46"/>
        <v/>
      </c>
    </row>
    <row r="348" spans="1:33" x14ac:dyDescent="0.25">
      <c r="A348" s="4">
        <f t="shared" si="47"/>
        <v>345</v>
      </c>
      <c r="B348" s="30" t="str">
        <f t="shared" si="48"/>
        <v/>
      </c>
      <c r="C348" s="67" t="str">
        <f t="shared" si="42"/>
        <v/>
      </c>
      <c r="D348" s="105"/>
      <c r="E348" s="106"/>
      <c r="F348" s="106"/>
      <c r="G348" s="106"/>
      <c r="H348" s="107"/>
      <c r="I348" s="106"/>
      <c r="J348" s="106"/>
      <c r="K348" s="106"/>
      <c r="L348" s="106"/>
      <c r="M348" s="106"/>
      <c r="N348" s="108"/>
      <c r="O348" s="108" t="str">
        <f>IF(N348="","",IF('Event Dataset'!N348&lt;='Drop Downs and Assumptions'!$K$2,'Drop Downs and Assumptions'!$L$2,IF(AND('Event Dataset'!N348&gt;='Drop Downs and Assumptions'!$J$3,'Event Dataset'!N348&lt;='Drop Downs and Assumptions'!$K$3),'Drop Downs and Assumptions'!$L$3,IF(AND('Event Dataset'!N348&gt;='Drop Downs and Assumptions'!$J$4,'Event Dataset'!N348&lt;='Drop Downs and Assumptions'!$K$4),'Drop Downs and Assumptions'!$L$4,IF('Event Dataset'!N348&gt;='Drop Downs and Assumptions'!$J$5,'Drop Downs and Assumptions'!$L$5,"")))))</f>
        <v/>
      </c>
      <c r="P348" s="109"/>
      <c r="Q348" s="97"/>
      <c r="R348" s="110"/>
      <c r="S348" s="111"/>
      <c r="T348" s="111"/>
      <c r="U348" s="111"/>
      <c r="V348" s="111"/>
      <c r="W348" s="111"/>
      <c r="X348" s="111"/>
      <c r="Y348" s="111"/>
      <c r="Z348" s="111"/>
      <c r="AA348" s="111"/>
      <c r="AB348" s="111"/>
      <c r="AC348" s="112"/>
      <c r="AD348" s="113" t="str">
        <f t="shared" si="43"/>
        <v/>
      </c>
      <c r="AE348" s="114" t="str">
        <f t="shared" si="44"/>
        <v/>
      </c>
      <c r="AF348" s="115" t="str">
        <f t="shared" si="45"/>
        <v/>
      </c>
      <c r="AG348" s="116" t="str">
        <f t="shared" si="46"/>
        <v/>
      </c>
    </row>
    <row r="349" spans="1:33" x14ac:dyDescent="0.25">
      <c r="A349" s="16">
        <f t="shared" si="47"/>
        <v>346</v>
      </c>
      <c r="B349" s="31" t="str">
        <f t="shared" si="48"/>
        <v/>
      </c>
      <c r="C349" s="66" t="str">
        <f t="shared" si="42"/>
        <v/>
      </c>
      <c r="D349" s="92"/>
      <c r="E349" s="93"/>
      <c r="F349" s="93"/>
      <c r="G349" s="93"/>
      <c r="H349" s="94"/>
      <c r="I349" s="93"/>
      <c r="J349" s="93"/>
      <c r="K349" s="93"/>
      <c r="L349" s="93"/>
      <c r="M349" s="93"/>
      <c r="N349" s="95"/>
      <c r="O349" s="95" t="str">
        <f>IF(N349="","",IF('Event Dataset'!N349&lt;='Drop Downs and Assumptions'!$K$2,'Drop Downs and Assumptions'!$L$2,IF(AND('Event Dataset'!N349&gt;='Drop Downs and Assumptions'!$J$3,'Event Dataset'!N349&lt;='Drop Downs and Assumptions'!$K$3),'Drop Downs and Assumptions'!$L$3,IF(AND('Event Dataset'!N349&gt;='Drop Downs and Assumptions'!$J$4,'Event Dataset'!N349&lt;='Drop Downs and Assumptions'!$K$4),'Drop Downs and Assumptions'!$L$4,IF('Event Dataset'!N349&gt;='Drop Downs and Assumptions'!$J$5,'Drop Downs and Assumptions'!$L$5,"")))))</f>
        <v/>
      </c>
      <c r="P349" s="96"/>
      <c r="Q349" s="97"/>
      <c r="R349" s="98"/>
      <c r="S349" s="99"/>
      <c r="T349" s="99"/>
      <c r="U349" s="99"/>
      <c r="V349" s="99"/>
      <c r="W349" s="99"/>
      <c r="X349" s="99"/>
      <c r="Y349" s="99"/>
      <c r="Z349" s="99"/>
      <c r="AA349" s="99"/>
      <c r="AB349" s="99"/>
      <c r="AC349" s="100"/>
      <c r="AD349" s="101" t="str">
        <f t="shared" si="43"/>
        <v/>
      </c>
      <c r="AE349" s="102" t="str">
        <f t="shared" si="44"/>
        <v/>
      </c>
      <c r="AF349" s="103" t="str">
        <f t="shared" si="45"/>
        <v/>
      </c>
      <c r="AG349" s="104" t="str">
        <f t="shared" si="46"/>
        <v/>
      </c>
    </row>
    <row r="350" spans="1:33" x14ac:dyDescent="0.25">
      <c r="A350" s="4">
        <f t="shared" si="47"/>
        <v>347</v>
      </c>
      <c r="B350" s="30" t="str">
        <f t="shared" si="48"/>
        <v/>
      </c>
      <c r="C350" s="67" t="str">
        <f t="shared" si="42"/>
        <v/>
      </c>
      <c r="D350" s="105"/>
      <c r="E350" s="106"/>
      <c r="F350" s="106"/>
      <c r="G350" s="106"/>
      <c r="H350" s="107"/>
      <c r="I350" s="106"/>
      <c r="J350" s="106"/>
      <c r="K350" s="106"/>
      <c r="L350" s="106"/>
      <c r="M350" s="106"/>
      <c r="N350" s="108"/>
      <c r="O350" s="108" t="str">
        <f>IF(N350="","",IF('Event Dataset'!N350&lt;='Drop Downs and Assumptions'!$K$2,'Drop Downs and Assumptions'!$L$2,IF(AND('Event Dataset'!N350&gt;='Drop Downs and Assumptions'!$J$3,'Event Dataset'!N350&lt;='Drop Downs and Assumptions'!$K$3),'Drop Downs and Assumptions'!$L$3,IF(AND('Event Dataset'!N350&gt;='Drop Downs and Assumptions'!$J$4,'Event Dataset'!N350&lt;='Drop Downs and Assumptions'!$K$4),'Drop Downs and Assumptions'!$L$4,IF('Event Dataset'!N350&gt;='Drop Downs and Assumptions'!$J$5,'Drop Downs and Assumptions'!$L$5,"")))))</f>
        <v/>
      </c>
      <c r="P350" s="109"/>
      <c r="Q350" s="97"/>
      <c r="R350" s="110"/>
      <c r="S350" s="111"/>
      <c r="T350" s="111"/>
      <c r="U350" s="111"/>
      <c r="V350" s="111"/>
      <c r="W350" s="111"/>
      <c r="X350" s="111"/>
      <c r="Y350" s="111"/>
      <c r="Z350" s="111"/>
      <c r="AA350" s="111"/>
      <c r="AB350" s="111"/>
      <c r="AC350" s="112"/>
      <c r="AD350" s="113" t="str">
        <f t="shared" si="43"/>
        <v/>
      </c>
      <c r="AE350" s="114" t="str">
        <f t="shared" si="44"/>
        <v/>
      </c>
      <c r="AF350" s="115" t="str">
        <f t="shared" si="45"/>
        <v/>
      </c>
      <c r="AG350" s="116" t="str">
        <f t="shared" si="46"/>
        <v/>
      </c>
    </row>
    <row r="351" spans="1:33" x14ac:dyDescent="0.25">
      <c r="A351" s="16">
        <f t="shared" si="47"/>
        <v>348</v>
      </c>
      <c r="B351" s="31" t="str">
        <f t="shared" si="48"/>
        <v/>
      </c>
      <c r="C351" s="66" t="str">
        <f t="shared" si="42"/>
        <v/>
      </c>
      <c r="D351" s="92"/>
      <c r="E351" s="93"/>
      <c r="F351" s="93"/>
      <c r="G351" s="93"/>
      <c r="H351" s="94"/>
      <c r="I351" s="93"/>
      <c r="J351" s="93"/>
      <c r="K351" s="93"/>
      <c r="L351" s="93"/>
      <c r="M351" s="93"/>
      <c r="N351" s="95"/>
      <c r="O351" s="95" t="str">
        <f>IF(N351="","",IF('Event Dataset'!N351&lt;='Drop Downs and Assumptions'!$K$2,'Drop Downs and Assumptions'!$L$2,IF(AND('Event Dataset'!N351&gt;='Drop Downs and Assumptions'!$J$3,'Event Dataset'!N351&lt;='Drop Downs and Assumptions'!$K$3),'Drop Downs and Assumptions'!$L$3,IF(AND('Event Dataset'!N351&gt;='Drop Downs and Assumptions'!$J$4,'Event Dataset'!N351&lt;='Drop Downs and Assumptions'!$K$4),'Drop Downs and Assumptions'!$L$4,IF('Event Dataset'!N351&gt;='Drop Downs and Assumptions'!$J$5,'Drop Downs and Assumptions'!$L$5,"")))))</f>
        <v/>
      </c>
      <c r="P351" s="96"/>
      <c r="Q351" s="97"/>
      <c r="R351" s="98"/>
      <c r="S351" s="99"/>
      <c r="T351" s="99"/>
      <c r="U351" s="99"/>
      <c r="V351" s="99"/>
      <c r="W351" s="99"/>
      <c r="X351" s="99"/>
      <c r="Y351" s="99"/>
      <c r="Z351" s="99"/>
      <c r="AA351" s="99"/>
      <c r="AB351" s="99"/>
      <c r="AC351" s="100"/>
      <c r="AD351" s="101" t="str">
        <f t="shared" si="43"/>
        <v/>
      </c>
      <c r="AE351" s="102" t="str">
        <f t="shared" si="44"/>
        <v/>
      </c>
      <c r="AF351" s="103" t="str">
        <f t="shared" si="45"/>
        <v/>
      </c>
      <c r="AG351" s="104" t="str">
        <f t="shared" si="46"/>
        <v/>
      </c>
    </row>
    <row r="352" spans="1:33" x14ac:dyDescent="0.25">
      <c r="A352" s="4">
        <f t="shared" si="47"/>
        <v>349</v>
      </c>
      <c r="B352" s="30" t="str">
        <f t="shared" si="48"/>
        <v/>
      </c>
      <c r="C352" s="67" t="str">
        <f t="shared" si="42"/>
        <v/>
      </c>
      <c r="D352" s="105"/>
      <c r="E352" s="106"/>
      <c r="F352" s="106"/>
      <c r="G352" s="106"/>
      <c r="H352" s="107"/>
      <c r="I352" s="106"/>
      <c r="J352" s="106"/>
      <c r="K352" s="106"/>
      <c r="L352" s="106"/>
      <c r="M352" s="106"/>
      <c r="N352" s="108"/>
      <c r="O352" s="108" t="str">
        <f>IF(N352="","",IF('Event Dataset'!N352&lt;='Drop Downs and Assumptions'!$K$2,'Drop Downs and Assumptions'!$L$2,IF(AND('Event Dataset'!N352&gt;='Drop Downs and Assumptions'!$J$3,'Event Dataset'!N352&lt;='Drop Downs and Assumptions'!$K$3),'Drop Downs and Assumptions'!$L$3,IF(AND('Event Dataset'!N352&gt;='Drop Downs and Assumptions'!$J$4,'Event Dataset'!N352&lt;='Drop Downs and Assumptions'!$K$4),'Drop Downs and Assumptions'!$L$4,IF('Event Dataset'!N352&gt;='Drop Downs and Assumptions'!$J$5,'Drop Downs and Assumptions'!$L$5,"")))))</f>
        <v/>
      </c>
      <c r="P352" s="109"/>
      <c r="Q352" s="97"/>
      <c r="R352" s="110"/>
      <c r="S352" s="111"/>
      <c r="T352" s="111"/>
      <c r="U352" s="111"/>
      <c r="V352" s="111"/>
      <c r="W352" s="111"/>
      <c r="X352" s="111"/>
      <c r="Y352" s="111"/>
      <c r="Z352" s="111"/>
      <c r="AA352" s="111"/>
      <c r="AB352" s="111"/>
      <c r="AC352" s="112"/>
      <c r="AD352" s="113" t="str">
        <f t="shared" si="43"/>
        <v/>
      </c>
      <c r="AE352" s="114" t="str">
        <f t="shared" si="44"/>
        <v/>
      </c>
      <c r="AF352" s="115" t="str">
        <f t="shared" si="45"/>
        <v/>
      </c>
      <c r="AG352" s="116" t="str">
        <f t="shared" si="46"/>
        <v/>
      </c>
    </row>
    <row r="353" spans="1:33" x14ac:dyDescent="0.25">
      <c r="A353" s="16">
        <f t="shared" si="47"/>
        <v>350</v>
      </c>
      <c r="B353" s="31" t="str">
        <f t="shared" si="48"/>
        <v/>
      </c>
      <c r="C353" s="66" t="str">
        <f t="shared" si="42"/>
        <v/>
      </c>
      <c r="D353" s="92"/>
      <c r="E353" s="93"/>
      <c r="F353" s="93"/>
      <c r="G353" s="93"/>
      <c r="H353" s="94"/>
      <c r="I353" s="93"/>
      <c r="J353" s="93"/>
      <c r="K353" s="93"/>
      <c r="L353" s="93"/>
      <c r="M353" s="93"/>
      <c r="N353" s="95"/>
      <c r="O353" s="95" t="str">
        <f>IF(N353="","",IF('Event Dataset'!N353&lt;='Drop Downs and Assumptions'!$K$2,'Drop Downs and Assumptions'!$L$2,IF(AND('Event Dataset'!N353&gt;='Drop Downs and Assumptions'!$J$3,'Event Dataset'!N353&lt;='Drop Downs and Assumptions'!$K$3),'Drop Downs and Assumptions'!$L$3,IF(AND('Event Dataset'!N353&gt;='Drop Downs and Assumptions'!$J$4,'Event Dataset'!N353&lt;='Drop Downs and Assumptions'!$K$4),'Drop Downs and Assumptions'!$L$4,IF('Event Dataset'!N353&gt;='Drop Downs and Assumptions'!$J$5,'Drop Downs and Assumptions'!$L$5,"")))))</f>
        <v/>
      </c>
      <c r="P353" s="96"/>
      <c r="Q353" s="97"/>
      <c r="R353" s="98"/>
      <c r="S353" s="99"/>
      <c r="T353" s="99"/>
      <c r="U353" s="99"/>
      <c r="V353" s="99"/>
      <c r="W353" s="99"/>
      <c r="X353" s="99"/>
      <c r="Y353" s="99"/>
      <c r="Z353" s="99"/>
      <c r="AA353" s="99"/>
      <c r="AB353" s="99"/>
      <c r="AC353" s="100"/>
      <c r="AD353" s="101" t="str">
        <f t="shared" si="43"/>
        <v/>
      </c>
      <c r="AE353" s="102" t="str">
        <f t="shared" si="44"/>
        <v/>
      </c>
      <c r="AF353" s="103" t="str">
        <f t="shared" si="45"/>
        <v/>
      </c>
      <c r="AG353" s="104" t="str">
        <f t="shared" si="46"/>
        <v/>
      </c>
    </row>
    <row r="354" spans="1:33" x14ac:dyDescent="0.25">
      <c r="A354" s="4">
        <f t="shared" si="47"/>
        <v>351</v>
      </c>
      <c r="B354" s="30" t="str">
        <f t="shared" si="48"/>
        <v/>
      </c>
      <c r="C354" s="67" t="str">
        <f t="shared" si="42"/>
        <v/>
      </c>
      <c r="D354" s="105"/>
      <c r="E354" s="106"/>
      <c r="F354" s="106"/>
      <c r="G354" s="106"/>
      <c r="H354" s="107"/>
      <c r="I354" s="106"/>
      <c r="J354" s="106"/>
      <c r="K354" s="106"/>
      <c r="L354" s="106"/>
      <c r="M354" s="106"/>
      <c r="N354" s="108"/>
      <c r="O354" s="108" t="str">
        <f>IF(N354="","",IF('Event Dataset'!N354&lt;='Drop Downs and Assumptions'!$K$2,'Drop Downs and Assumptions'!$L$2,IF(AND('Event Dataset'!N354&gt;='Drop Downs and Assumptions'!$J$3,'Event Dataset'!N354&lt;='Drop Downs and Assumptions'!$K$3),'Drop Downs and Assumptions'!$L$3,IF(AND('Event Dataset'!N354&gt;='Drop Downs and Assumptions'!$J$4,'Event Dataset'!N354&lt;='Drop Downs and Assumptions'!$K$4),'Drop Downs and Assumptions'!$L$4,IF('Event Dataset'!N354&gt;='Drop Downs and Assumptions'!$J$5,'Drop Downs and Assumptions'!$L$5,"")))))</f>
        <v/>
      </c>
      <c r="P354" s="109"/>
      <c r="Q354" s="97"/>
      <c r="R354" s="110"/>
      <c r="S354" s="111"/>
      <c r="T354" s="111"/>
      <c r="U354" s="111"/>
      <c r="V354" s="111"/>
      <c r="W354" s="111"/>
      <c r="X354" s="111"/>
      <c r="Y354" s="111"/>
      <c r="Z354" s="111"/>
      <c r="AA354" s="111"/>
      <c r="AB354" s="111"/>
      <c r="AC354" s="112"/>
      <c r="AD354" s="113" t="str">
        <f t="shared" si="43"/>
        <v/>
      </c>
      <c r="AE354" s="114" t="str">
        <f t="shared" si="44"/>
        <v/>
      </c>
      <c r="AF354" s="115" t="str">
        <f t="shared" si="45"/>
        <v/>
      </c>
      <c r="AG354" s="116" t="str">
        <f t="shared" si="46"/>
        <v/>
      </c>
    </row>
    <row r="355" spans="1:33" x14ac:dyDescent="0.25">
      <c r="A355" s="16">
        <f t="shared" si="47"/>
        <v>352</v>
      </c>
      <c r="B355" s="31" t="str">
        <f t="shared" si="48"/>
        <v/>
      </c>
      <c r="C355" s="66" t="str">
        <f t="shared" si="42"/>
        <v/>
      </c>
      <c r="D355" s="92"/>
      <c r="E355" s="93"/>
      <c r="F355" s="93"/>
      <c r="G355" s="93"/>
      <c r="H355" s="94"/>
      <c r="I355" s="93"/>
      <c r="J355" s="93"/>
      <c r="K355" s="93"/>
      <c r="L355" s="93"/>
      <c r="M355" s="93"/>
      <c r="N355" s="95"/>
      <c r="O355" s="95" t="str">
        <f>IF(N355="","",IF('Event Dataset'!N355&lt;='Drop Downs and Assumptions'!$K$2,'Drop Downs and Assumptions'!$L$2,IF(AND('Event Dataset'!N355&gt;='Drop Downs and Assumptions'!$J$3,'Event Dataset'!N355&lt;='Drop Downs and Assumptions'!$K$3),'Drop Downs and Assumptions'!$L$3,IF(AND('Event Dataset'!N355&gt;='Drop Downs and Assumptions'!$J$4,'Event Dataset'!N355&lt;='Drop Downs and Assumptions'!$K$4),'Drop Downs and Assumptions'!$L$4,IF('Event Dataset'!N355&gt;='Drop Downs and Assumptions'!$J$5,'Drop Downs and Assumptions'!$L$5,"")))))</f>
        <v/>
      </c>
      <c r="P355" s="96"/>
      <c r="Q355" s="97"/>
      <c r="R355" s="98"/>
      <c r="S355" s="99"/>
      <c r="T355" s="99"/>
      <c r="U355" s="99"/>
      <c r="V355" s="99"/>
      <c r="W355" s="99"/>
      <c r="X355" s="99"/>
      <c r="Y355" s="99"/>
      <c r="Z355" s="99"/>
      <c r="AA355" s="99"/>
      <c r="AB355" s="99"/>
      <c r="AC355" s="100"/>
      <c r="AD355" s="101" t="str">
        <f t="shared" si="43"/>
        <v/>
      </c>
      <c r="AE355" s="102" t="str">
        <f t="shared" si="44"/>
        <v/>
      </c>
      <c r="AF355" s="103" t="str">
        <f t="shared" si="45"/>
        <v/>
      </c>
      <c r="AG355" s="104" t="str">
        <f t="shared" si="46"/>
        <v/>
      </c>
    </row>
    <row r="356" spans="1:33" x14ac:dyDescent="0.25">
      <c r="A356" s="4">
        <f t="shared" si="47"/>
        <v>353</v>
      </c>
      <c r="B356" s="30" t="str">
        <f t="shared" si="48"/>
        <v/>
      </c>
      <c r="C356" s="67" t="str">
        <f t="shared" si="42"/>
        <v/>
      </c>
      <c r="D356" s="105"/>
      <c r="E356" s="106"/>
      <c r="F356" s="106"/>
      <c r="G356" s="106"/>
      <c r="H356" s="107"/>
      <c r="I356" s="106"/>
      <c r="J356" s="106"/>
      <c r="K356" s="106"/>
      <c r="L356" s="106"/>
      <c r="M356" s="106"/>
      <c r="N356" s="108"/>
      <c r="O356" s="108" t="str">
        <f>IF(N356="","",IF('Event Dataset'!N356&lt;='Drop Downs and Assumptions'!$K$2,'Drop Downs and Assumptions'!$L$2,IF(AND('Event Dataset'!N356&gt;='Drop Downs and Assumptions'!$J$3,'Event Dataset'!N356&lt;='Drop Downs and Assumptions'!$K$3),'Drop Downs and Assumptions'!$L$3,IF(AND('Event Dataset'!N356&gt;='Drop Downs and Assumptions'!$J$4,'Event Dataset'!N356&lt;='Drop Downs and Assumptions'!$K$4),'Drop Downs and Assumptions'!$L$4,IF('Event Dataset'!N356&gt;='Drop Downs and Assumptions'!$J$5,'Drop Downs and Assumptions'!$L$5,"")))))</f>
        <v/>
      </c>
      <c r="P356" s="109"/>
      <c r="Q356" s="97"/>
      <c r="R356" s="110"/>
      <c r="S356" s="111"/>
      <c r="T356" s="111"/>
      <c r="U356" s="111"/>
      <c r="V356" s="111"/>
      <c r="W356" s="111"/>
      <c r="X356" s="111"/>
      <c r="Y356" s="111"/>
      <c r="Z356" s="111"/>
      <c r="AA356" s="111"/>
      <c r="AB356" s="111"/>
      <c r="AC356" s="112"/>
      <c r="AD356" s="113" t="str">
        <f t="shared" si="43"/>
        <v/>
      </c>
      <c r="AE356" s="114" t="str">
        <f t="shared" si="44"/>
        <v/>
      </c>
      <c r="AF356" s="115" t="str">
        <f t="shared" si="45"/>
        <v/>
      </c>
      <c r="AG356" s="116" t="str">
        <f t="shared" si="46"/>
        <v/>
      </c>
    </row>
    <row r="357" spans="1:33" x14ac:dyDescent="0.25">
      <c r="A357" s="16">
        <f t="shared" si="47"/>
        <v>354</v>
      </c>
      <c r="B357" s="31" t="str">
        <f t="shared" si="48"/>
        <v/>
      </c>
      <c r="C357" s="66" t="str">
        <f t="shared" si="42"/>
        <v/>
      </c>
      <c r="D357" s="92"/>
      <c r="E357" s="93"/>
      <c r="F357" s="93"/>
      <c r="G357" s="93"/>
      <c r="H357" s="94"/>
      <c r="I357" s="93"/>
      <c r="J357" s="93"/>
      <c r="K357" s="93"/>
      <c r="L357" s="93"/>
      <c r="M357" s="93"/>
      <c r="N357" s="95"/>
      <c r="O357" s="95" t="str">
        <f>IF(N357="","",IF('Event Dataset'!N357&lt;='Drop Downs and Assumptions'!$K$2,'Drop Downs and Assumptions'!$L$2,IF(AND('Event Dataset'!N357&gt;='Drop Downs and Assumptions'!$J$3,'Event Dataset'!N357&lt;='Drop Downs and Assumptions'!$K$3),'Drop Downs and Assumptions'!$L$3,IF(AND('Event Dataset'!N357&gt;='Drop Downs and Assumptions'!$J$4,'Event Dataset'!N357&lt;='Drop Downs and Assumptions'!$K$4),'Drop Downs and Assumptions'!$L$4,IF('Event Dataset'!N357&gt;='Drop Downs and Assumptions'!$J$5,'Drop Downs and Assumptions'!$L$5,"")))))</f>
        <v/>
      </c>
      <c r="P357" s="96"/>
      <c r="Q357" s="97"/>
      <c r="R357" s="98"/>
      <c r="S357" s="99"/>
      <c r="T357" s="99"/>
      <c r="U357" s="99"/>
      <c r="V357" s="99"/>
      <c r="W357" s="99"/>
      <c r="X357" s="99"/>
      <c r="Y357" s="99"/>
      <c r="Z357" s="99"/>
      <c r="AA357" s="99"/>
      <c r="AB357" s="99"/>
      <c r="AC357" s="100"/>
      <c r="AD357" s="101" t="str">
        <f t="shared" si="43"/>
        <v/>
      </c>
      <c r="AE357" s="102" t="str">
        <f t="shared" si="44"/>
        <v/>
      </c>
      <c r="AF357" s="103" t="str">
        <f t="shared" si="45"/>
        <v/>
      </c>
      <c r="AG357" s="104" t="str">
        <f t="shared" si="46"/>
        <v/>
      </c>
    </row>
    <row r="358" spans="1:33" x14ac:dyDescent="0.25">
      <c r="A358" s="4">
        <f t="shared" si="47"/>
        <v>355</v>
      </c>
      <c r="B358" s="30" t="str">
        <f t="shared" si="48"/>
        <v/>
      </c>
      <c r="C358" s="67" t="str">
        <f t="shared" si="42"/>
        <v/>
      </c>
      <c r="D358" s="105"/>
      <c r="E358" s="106"/>
      <c r="F358" s="106"/>
      <c r="G358" s="106"/>
      <c r="H358" s="107"/>
      <c r="I358" s="106"/>
      <c r="J358" s="106"/>
      <c r="K358" s="106"/>
      <c r="L358" s="106"/>
      <c r="M358" s="106"/>
      <c r="N358" s="108"/>
      <c r="O358" s="108" t="str">
        <f>IF(N358="","",IF('Event Dataset'!N358&lt;='Drop Downs and Assumptions'!$K$2,'Drop Downs and Assumptions'!$L$2,IF(AND('Event Dataset'!N358&gt;='Drop Downs and Assumptions'!$J$3,'Event Dataset'!N358&lt;='Drop Downs and Assumptions'!$K$3),'Drop Downs and Assumptions'!$L$3,IF(AND('Event Dataset'!N358&gt;='Drop Downs and Assumptions'!$J$4,'Event Dataset'!N358&lt;='Drop Downs and Assumptions'!$K$4),'Drop Downs and Assumptions'!$L$4,IF('Event Dataset'!N358&gt;='Drop Downs and Assumptions'!$J$5,'Drop Downs and Assumptions'!$L$5,"")))))</f>
        <v/>
      </c>
      <c r="P358" s="109"/>
      <c r="Q358" s="97"/>
      <c r="R358" s="110"/>
      <c r="S358" s="111"/>
      <c r="T358" s="111"/>
      <c r="U358" s="111"/>
      <c r="V358" s="111"/>
      <c r="W358" s="111"/>
      <c r="X358" s="111"/>
      <c r="Y358" s="111"/>
      <c r="Z358" s="111"/>
      <c r="AA358" s="111"/>
      <c r="AB358" s="111"/>
      <c r="AC358" s="112"/>
      <c r="AD358" s="113" t="str">
        <f t="shared" si="43"/>
        <v/>
      </c>
      <c r="AE358" s="114" t="str">
        <f t="shared" si="44"/>
        <v/>
      </c>
      <c r="AF358" s="115" t="str">
        <f t="shared" si="45"/>
        <v/>
      </c>
      <c r="AG358" s="116" t="str">
        <f t="shared" si="46"/>
        <v/>
      </c>
    </row>
    <row r="359" spans="1:33" x14ac:dyDescent="0.25">
      <c r="A359" s="16">
        <f t="shared" si="47"/>
        <v>356</v>
      </c>
      <c r="B359" s="31" t="str">
        <f t="shared" si="48"/>
        <v/>
      </c>
      <c r="C359" s="66" t="str">
        <f t="shared" si="42"/>
        <v/>
      </c>
      <c r="D359" s="92"/>
      <c r="E359" s="93"/>
      <c r="F359" s="93"/>
      <c r="G359" s="93"/>
      <c r="H359" s="94"/>
      <c r="I359" s="93"/>
      <c r="J359" s="93"/>
      <c r="K359" s="93"/>
      <c r="L359" s="93"/>
      <c r="M359" s="93"/>
      <c r="N359" s="95"/>
      <c r="O359" s="95" t="str">
        <f>IF(N359="","",IF('Event Dataset'!N359&lt;='Drop Downs and Assumptions'!$K$2,'Drop Downs and Assumptions'!$L$2,IF(AND('Event Dataset'!N359&gt;='Drop Downs and Assumptions'!$J$3,'Event Dataset'!N359&lt;='Drop Downs and Assumptions'!$K$3),'Drop Downs and Assumptions'!$L$3,IF(AND('Event Dataset'!N359&gt;='Drop Downs and Assumptions'!$J$4,'Event Dataset'!N359&lt;='Drop Downs and Assumptions'!$K$4),'Drop Downs and Assumptions'!$L$4,IF('Event Dataset'!N359&gt;='Drop Downs and Assumptions'!$J$5,'Drop Downs and Assumptions'!$L$5,"")))))</f>
        <v/>
      </c>
      <c r="P359" s="96"/>
      <c r="Q359" s="97"/>
      <c r="R359" s="98"/>
      <c r="S359" s="99"/>
      <c r="T359" s="99"/>
      <c r="U359" s="99"/>
      <c r="V359" s="99"/>
      <c r="W359" s="99"/>
      <c r="X359" s="99"/>
      <c r="Y359" s="99"/>
      <c r="Z359" s="99"/>
      <c r="AA359" s="99"/>
      <c r="AB359" s="99"/>
      <c r="AC359" s="100"/>
      <c r="AD359" s="101" t="str">
        <f t="shared" si="43"/>
        <v/>
      </c>
      <c r="AE359" s="102" t="str">
        <f t="shared" si="44"/>
        <v/>
      </c>
      <c r="AF359" s="103" t="str">
        <f t="shared" si="45"/>
        <v/>
      </c>
      <c r="AG359" s="104" t="str">
        <f t="shared" si="46"/>
        <v/>
      </c>
    </row>
    <row r="360" spans="1:33" x14ac:dyDescent="0.25">
      <c r="A360" s="4">
        <f t="shared" si="47"/>
        <v>357</v>
      </c>
      <c r="B360" s="30" t="str">
        <f t="shared" si="48"/>
        <v/>
      </c>
      <c r="C360" s="67" t="str">
        <f t="shared" si="42"/>
        <v/>
      </c>
      <c r="D360" s="105"/>
      <c r="E360" s="106"/>
      <c r="F360" s="106"/>
      <c r="G360" s="106"/>
      <c r="H360" s="107"/>
      <c r="I360" s="106"/>
      <c r="J360" s="106"/>
      <c r="K360" s="106"/>
      <c r="L360" s="106"/>
      <c r="M360" s="106"/>
      <c r="N360" s="108"/>
      <c r="O360" s="108" t="str">
        <f>IF(N360="","",IF('Event Dataset'!N360&lt;='Drop Downs and Assumptions'!$K$2,'Drop Downs and Assumptions'!$L$2,IF(AND('Event Dataset'!N360&gt;='Drop Downs and Assumptions'!$J$3,'Event Dataset'!N360&lt;='Drop Downs and Assumptions'!$K$3),'Drop Downs and Assumptions'!$L$3,IF(AND('Event Dataset'!N360&gt;='Drop Downs and Assumptions'!$J$4,'Event Dataset'!N360&lt;='Drop Downs and Assumptions'!$K$4),'Drop Downs and Assumptions'!$L$4,IF('Event Dataset'!N360&gt;='Drop Downs and Assumptions'!$J$5,'Drop Downs and Assumptions'!$L$5,"")))))</f>
        <v/>
      </c>
      <c r="P360" s="109"/>
      <c r="Q360" s="97"/>
      <c r="R360" s="110"/>
      <c r="S360" s="111"/>
      <c r="T360" s="111"/>
      <c r="U360" s="111"/>
      <c r="V360" s="111"/>
      <c r="W360" s="111"/>
      <c r="X360" s="111"/>
      <c r="Y360" s="111"/>
      <c r="Z360" s="111"/>
      <c r="AA360" s="111"/>
      <c r="AB360" s="111"/>
      <c r="AC360" s="112"/>
      <c r="AD360" s="113" t="str">
        <f t="shared" si="43"/>
        <v/>
      </c>
      <c r="AE360" s="114" t="str">
        <f t="shared" si="44"/>
        <v/>
      </c>
      <c r="AF360" s="115" t="str">
        <f t="shared" si="45"/>
        <v/>
      </c>
      <c r="AG360" s="116" t="str">
        <f t="shared" si="46"/>
        <v/>
      </c>
    </row>
    <row r="361" spans="1:33" x14ac:dyDescent="0.25">
      <c r="A361" s="16">
        <f t="shared" si="47"/>
        <v>358</v>
      </c>
      <c r="B361" s="31" t="str">
        <f t="shared" si="48"/>
        <v/>
      </c>
      <c r="C361" s="66" t="str">
        <f t="shared" si="42"/>
        <v/>
      </c>
      <c r="D361" s="92"/>
      <c r="E361" s="93"/>
      <c r="F361" s="93"/>
      <c r="G361" s="93"/>
      <c r="H361" s="94"/>
      <c r="I361" s="93"/>
      <c r="J361" s="93"/>
      <c r="K361" s="93"/>
      <c r="L361" s="93"/>
      <c r="M361" s="93"/>
      <c r="N361" s="95"/>
      <c r="O361" s="95" t="str">
        <f>IF(N361="","",IF('Event Dataset'!N361&lt;='Drop Downs and Assumptions'!$K$2,'Drop Downs and Assumptions'!$L$2,IF(AND('Event Dataset'!N361&gt;='Drop Downs and Assumptions'!$J$3,'Event Dataset'!N361&lt;='Drop Downs and Assumptions'!$K$3),'Drop Downs and Assumptions'!$L$3,IF(AND('Event Dataset'!N361&gt;='Drop Downs and Assumptions'!$J$4,'Event Dataset'!N361&lt;='Drop Downs and Assumptions'!$K$4),'Drop Downs and Assumptions'!$L$4,IF('Event Dataset'!N361&gt;='Drop Downs and Assumptions'!$J$5,'Drop Downs and Assumptions'!$L$5,"")))))</f>
        <v/>
      </c>
      <c r="P361" s="96"/>
      <c r="Q361" s="97"/>
      <c r="R361" s="98"/>
      <c r="S361" s="99"/>
      <c r="T361" s="99"/>
      <c r="U361" s="99"/>
      <c r="V361" s="99"/>
      <c r="W361" s="99"/>
      <c r="X361" s="99"/>
      <c r="Y361" s="99"/>
      <c r="Z361" s="99"/>
      <c r="AA361" s="99"/>
      <c r="AB361" s="99"/>
      <c r="AC361" s="100"/>
      <c r="AD361" s="101" t="str">
        <f t="shared" si="43"/>
        <v/>
      </c>
      <c r="AE361" s="102" t="str">
        <f t="shared" si="44"/>
        <v/>
      </c>
      <c r="AF361" s="103" t="str">
        <f t="shared" si="45"/>
        <v/>
      </c>
      <c r="AG361" s="104" t="str">
        <f t="shared" si="46"/>
        <v/>
      </c>
    </row>
    <row r="362" spans="1:33" x14ac:dyDescent="0.25">
      <c r="A362" s="4">
        <f t="shared" si="47"/>
        <v>359</v>
      </c>
      <c r="B362" s="30" t="str">
        <f t="shared" si="48"/>
        <v/>
      </c>
      <c r="C362" s="67" t="str">
        <f t="shared" si="42"/>
        <v/>
      </c>
      <c r="D362" s="105"/>
      <c r="E362" s="106"/>
      <c r="F362" s="106"/>
      <c r="G362" s="106"/>
      <c r="H362" s="107"/>
      <c r="I362" s="106"/>
      <c r="J362" s="106"/>
      <c r="K362" s="106"/>
      <c r="L362" s="106"/>
      <c r="M362" s="106"/>
      <c r="N362" s="108"/>
      <c r="O362" s="108" t="str">
        <f>IF(N362="","",IF('Event Dataset'!N362&lt;='Drop Downs and Assumptions'!$K$2,'Drop Downs and Assumptions'!$L$2,IF(AND('Event Dataset'!N362&gt;='Drop Downs and Assumptions'!$J$3,'Event Dataset'!N362&lt;='Drop Downs and Assumptions'!$K$3),'Drop Downs and Assumptions'!$L$3,IF(AND('Event Dataset'!N362&gt;='Drop Downs and Assumptions'!$J$4,'Event Dataset'!N362&lt;='Drop Downs and Assumptions'!$K$4),'Drop Downs and Assumptions'!$L$4,IF('Event Dataset'!N362&gt;='Drop Downs and Assumptions'!$J$5,'Drop Downs and Assumptions'!$L$5,"")))))</f>
        <v/>
      </c>
      <c r="P362" s="109"/>
      <c r="Q362" s="97"/>
      <c r="R362" s="110"/>
      <c r="S362" s="111"/>
      <c r="T362" s="111"/>
      <c r="U362" s="111"/>
      <c r="V362" s="111"/>
      <c r="W362" s="111"/>
      <c r="X362" s="111"/>
      <c r="Y362" s="111"/>
      <c r="Z362" s="111"/>
      <c r="AA362" s="111"/>
      <c r="AB362" s="111"/>
      <c r="AC362" s="112"/>
      <c r="AD362" s="113" t="str">
        <f t="shared" si="43"/>
        <v/>
      </c>
      <c r="AE362" s="114" t="str">
        <f t="shared" si="44"/>
        <v/>
      </c>
      <c r="AF362" s="115" t="str">
        <f t="shared" si="45"/>
        <v/>
      </c>
      <c r="AG362" s="116" t="str">
        <f t="shared" si="46"/>
        <v/>
      </c>
    </row>
    <row r="363" spans="1:33" x14ac:dyDescent="0.25">
      <c r="A363" s="16">
        <f t="shared" si="47"/>
        <v>360</v>
      </c>
      <c r="B363" s="31" t="str">
        <f t="shared" si="48"/>
        <v/>
      </c>
      <c r="C363" s="66" t="str">
        <f t="shared" si="42"/>
        <v/>
      </c>
      <c r="D363" s="92"/>
      <c r="E363" s="93"/>
      <c r="F363" s="93"/>
      <c r="G363" s="93"/>
      <c r="H363" s="94"/>
      <c r="I363" s="93"/>
      <c r="J363" s="93"/>
      <c r="K363" s="93"/>
      <c r="L363" s="93"/>
      <c r="M363" s="93"/>
      <c r="N363" s="95"/>
      <c r="O363" s="95" t="str">
        <f>IF(N363="","",IF('Event Dataset'!N363&lt;='Drop Downs and Assumptions'!$K$2,'Drop Downs and Assumptions'!$L$2,IF(AND('Event Dataset'!N363&gt;='Drop Downs and Assumptions'!$J$3,'Event Dataset'!N363&lt;='Drop Downs and Assumptions'!$K$3),'Drop Downs and Assumptions'!$L$3,IF(AND('Event Dataset'!N363&gt;='Drop Downs and Assumptions'!$J$4,'Event Dataset'!N363&lt;='Drop Downs and Assumptions'!$K$4),'Drop Downs and Assumptions'!$L$4,IF('Event Dataset'!N363&gt;='Drop Downs and Assumptions'!$J$5,'Drop Downs and Assumptions'!$L$5,"")))))</f>
        <v/>
      </c>
      <c r="P363" s="96"/>
      <c r="Q363" s="97"/>
      <c r="R363" s="98"/>
      <c r="S363" s="99"/>
      <c r="T363" s="99"/>
      <c r="U363" s="99"/>
      <c r="V363" s="99"/>
      <c r="W363" s="99"/>
      <c r="X363" s="99"/>
      <c r="Y363" s="99"/>
      <c r="Z363" s="99"/>
      <c r="AA363" s="99"/>
      <c r="AB363" s="99"/>
      <c r="AC363" s="100"/>
      <c r="AD363" s="101" t="str">
        <f t="shared" si="43"/>
        <v/>
      </c>
      <c r="AE363" s="102" t="str">
        <f t="shared" si="44"/>
        <v/>
      </c>
      <c r="AF363" s="103" t="str">
        <f t="shared" si="45"/>
        <v/>
      </c>
      <c r="AG363" s="104" t="str">
        <f t="shared" si="46"/>
        <v/>
      </c>
    </row>
    <row r="364" spans="1:33" x14ac:dyDescent="0.25">
      <c r="A364" s="4">
        <f t="shared" si="47"/>
        <v>361</v>
      </c>
      <c r="B364" s="30" t="str">
        <f t="shared" si="48"/>
        <v/>
      </c>
      <c r="C364" s="67" t="str">
        <f t="shared" si="42"/>
        <v/>
      </c>
      <c r="D364" s="105"/>
      <c r="E364" s="106"/>
      <c r="F364" s="106"/>
      <c r="G364" s="106"/>
      <c r="H364" s="107"/>
      <c r="I364" s="106"/>
      <c r="J364" s="106"/>
      <c r="K364" s="106"/>
      <c r="L364" s="106"/>
      <c r="M364" s="106"/>
      <c r="N364" s="108"/>
      <c r="O364" s="108" t="str">
        <f>IF(N364="","",IF('Event Dataset'!N364&lt;='Drop Downs and Assumptions'!$K$2,'Drop Downs and Assumptions'!$L$2,IF(AND('Event Dataset'!N364&gt;='Drop Downs and Assumptions'!$J$3,'Event Dataset'!N364&lt;='Drop Downs and Assumptions'!$K$3),'Drop Downs and Assumptions'!$L$3,IF(AND('Event Dataset'!N364&gt;='Drop Downs and Assumptions'!$J$4,'Event Dataset'!N364&lt;='Drop Downs and Assumptions'!$K$4),'Drop Downs and Assumptions'!$L$4,IF('Event Dataset'!N364&gt;='Drop Downs and Assumptions'!$J$5,'Drop Downs and Assumptions'!$L$5,"")))))</f>
        <v/>
      </c>
      <c r="P364" s="109"/>
      <c r="Q364" s="97"/>
      <c r="R364" s="110"/>
      <c r="S364" s="111"/>
      <c r="T364" s="111"/>
      <c r="U364" s="111"/>
      <c r="V364" s="111"/>
      <c r="W364" s="111"/>
      <c r="X364" s="111"/>
      <c r="Y364" s="111"/>
      <c r="Z364" s="111"/>
      <c r="AA364" s="111"/>
      <c r="AB364" s="111"/>
      <c r="AC364" s="112"/>
      <c r="AD364" s="113" t="str">
        <f t="shared" si="43"/>
        <v/>
      </c>
      <c r="AE364" s="114" t="str">
        <f t="shared" si="44"/>
        <v/>
      </c>
      <c r="AF364" s="115" t="str">
        <f t="shared" si="45"/>
        <v/>
      </c>
      <c r="AG364" s="116" t="str">
        <f t="shared" si="46"/>
        <v/>
      </c>
    </row>
    <row r="365" spans="1:33" x14ac:dyDescent="0.25">
      <c r="A365" s="16">
        <f t="shared" si="47"/>
        <v>362</v>
      </c>
      <c r="B365" s="31" t="str">
        <f t="shared" si="48"/>
        <v/>
      </c>
      <c r="C365" s="66" t="str">
        <f t="shared" si="42"/>
        <v/>
      </c>
      <c r="D365" s="92"/>
      <c r="E365" s="93"/>
      <c r="F365" s="93"/>
      <c r="G365" s="93"/>
      <c r="H365" s="94"/>
      <c r="I365" s="93"/>
      <c r="J365" s="93"/>
      <c r="K365" s="93"/>
      <c r="L365" s="93"/>
      <c r="M365" s="93"/>
      <c r="N365" s="95"/>
      <c r="O365" s="95" t="str">
        <f>IF(N365="","",IF('Event Dataset'!N365&lt;='Drop Downs and Assumptions'!$K$2,'Drop Downs and Assumptions'!$L$2,IF(AND('Event Dataset'!N365&gt;='Drop Downs and Assumptions'!$J$3,'Event Dataset'!N365&lt;='Drop Downs and Assumptions'!$K$3),'Drop Downs and Assumptions'!$L$3,IF(AND('Event Dataset'!N365&gt;='Drop Downs and Assumptions'!$J$4,'Event Dataset'!N365&lt;='Drop Downs and Assumptions'!$K$4),'Drop Downs and Assumptions'!$L$4,IF('Event Dataset'!N365&gt;='Drop Downs and Assumptions'!$J$5,'Drop Downs and Assumptions'!$L$5,"")))))</f>
        <v/>
      </c>
      <c r="P365" s="96"/>
      <c r="Q365" s="97"/>
      <c r="R365" s="98"/>
      <c r="S365" s="99"/>
      <c r="T365" s="99"/>
      <c r="U365" s="99"/>
      <c r="V365" s="99"/>
      <c r="W365" s="99"/>
      <c r="X365" s="99"/>
      <c r="Y365" s="99"/>
      <c r="Z365" s="99"/>
      <c r="AA365" s="99"/>
      <c r="AB365" s="99"/>
      <c r="AC365" s="100"/>
      <c r="AD365" s="101" t="str">
        <f t="shared" si="43"/>
        <v/>
      </c>
      <c r="AE365" s="102" t="str">
        <f t="shared" si="44"/>
        <v/>
      </c>
      <c r="AF365" s="103" t="str">
        <f t="shared" si="45"/>
        <v/>
      </c>
      <c r="AG365" s="104" t="str">
        <f t="shared" si="46"/>
        <v/>
      </c>
    </row>
    <row r="366" spans="1:33" x14ac:dyDescent="0.25">
      <c r="A366" s="4">
        <f t="shared" si="47"/>
        <v>363</v>
      </c>
      <c r="B366" s="30" t="str">
        <f t="shared" si="48"/>
        <v/>
      </c>
      <c r="C366" s="67" t="str">
        <f t="shared" si="42"/>
        <v/>
      </c>
      <c r="D366" s="105"/>
      <c r="E366" s="106"/>
      <c r="F366" s="106"/>
      <c r="G366" s="106"/>
      <c r="H366" s="107"/>
      <c r="I366" s="106"/>
      <c r="J366" s="106"/>
      <c r="K366" s="106"/>
      <c r="L366" s="106"/>
      <c r="M366" s="106"/>
      <c r="N366" s="108"/>
      <c r="O366" s="108" t="str">
        <f>IF(N366="","",IF('Event Dataset'!N366&lt;='Drop Downs and Assumptions'!$K$2,'Drop Downs and Assumptions'!$L$2,IF(AND('Event Dataset'!N366&gt;='Drop Downs and Assumptions'!$J$3,'Event Dataset'!N366&lt;='Drop Downs and Assumptions'!$K$3),'Drop Downs and Assumptions'!$L$3,IF(AND('Event Dataset'!N366&gt;='Drop Downs and Assumptions'!$J$4,'Event Dataset'!N366&lt;='Drop Downs and Assumptions'!$K$4),'Drop Downs and Assumptions'!$L$4,IF('Event Dataset'!N366&gt;='Drop Downs and Assumptions'!$J$5,'Drop Downs and Assumptions'!$L$5,"")))))</f>
        <v/>
      </c>
      <c r="P366" s="109"/>
      <c r="Q366" s="97"/>
      <c r="R366" s="110"/>
      <c r="S366" s="111"/>
      <c r="T366" s="111"/>
      <c r="U366" s="111"/>
      <c r="V366" s="111"/>
      <c r="W366" s="111"/>
      <c r="X366" s="111"/>
      <c r="Y366" s="111"/>
      <c r="Z366" s="111"/>
      <c r="AA366" s="111"/>
      <c r="AB366" s="111"/>
      <c r="AC366" s="112"/>
      <c r="AD366" s="113" t="str">
        <f t="shared" si="43"/>
        <v/>
      </c>
      <c r="AE366" s="114" t="str">
        <f t="shared" si="44"/>
        <v/>
      </c>
      <c r="AF366" s="115" t="str">
        <f t="shared" si="45"/>
        <v/>
      </c>
      <c r="AG366" s="116" t="str">
        <f t="shared" si="46"/>
        <v/>
      </c>
    </row>
    <row r="367" spans="1:33" x14ac:dyDescent="0.25">
      <c r="A367" s="16">
        <f t="shared" si="47"/>
        <v>364</v>
      </c>
      <c r="B367" s="31" t="str">
        <f t="shared" si="48"/>
        <v/>
      </c>
      <c r="C367" s="66" t="str">
        <f t="shared" si="42"/>
        <v/>
      </c>
      <c r="D367" s="92"/>
      <c r="E367" s="93"/>
      <c r="F367" s="93"/>
      <c r="G367" s="93"/>
      <c r="H367" s="94"/>
      <c r="I367" s="93"/>
      <c r="J367" s="93"/>
      <c r="K367" s="93"/>
      <c r="L367" s="93"/>
      <c r="M367" s="93"/>
      <c r="N367" s="95"/>
      <c r="O367" s="95" t="str">
        <f>IF(N367="","",IF('Event Dataset'!N367&lt;='Drop Downs and Assumptions'!$K$2,'Drop Downs and Assumptions'!$L$2,IF(AND('Event Dataset'!N367&gt;='Drop Downs and Assumptions'!$J$3,'Event Dataset'!N367&lt;='Drop Downs and Assumptions'!$K$3),'Drop Downs and Assumptions'!$L$3,IF(AND('Event Dataset'!N367&gt;='Drop Downs and Assumptions'!$J$4,'Event Dataset'!N367&lt;='Drop Downs and Assumptions'!$K$4),'Drop Downs and Assumptions'!$L$4,IF('Event Dataset'!N367&gt;='Drop Downs and Assumptions'!$J$5,'Drop Downs and Assumptions'!$L$5,"")))))</f>
        <v/>
      </c>
      <c r="P367" s="96"/>
      <c r="Q367" s="97"/>
      <c r="R367" s="98"/>
      <c r="S367" s="99"/>
      <c r="T367" s="99"/>
      <c r="U367" s="99"/>
      <c r="V367" s="99"/>
      <c r="W367" s="99"/>
      <c r="X367" s="99"/>
      <c r="Y367" s="99"/>
      <c r="Z367" s="99"/>
      <c r="AA367" s="99"/>
      <c r="AB367" s="99"/>
      <c r="AC367" s="100"/>
      <c r="AD367" s="101" t="str">
        <f t="shared" si="43"/>
        <v/>
      </c>
      <c r="AE367" s="102" t="str">
        <f t="shared" si="44"/>
        <v/>
      </c>
      <c r="AF367" s="103" t="str">
        <f t="shared" si="45"/>
        <v/>
      </c>
      <c r="AG367" s="104" t="str">
        <f t="shared" si="46"/>
        <v/>
      </c>
    </row>
    <row r="368" spans="1:33" x14ac:dyDescent="0.25">
      <c r="A368" s="4">
        <f t="shared" si="47"/>
        <v>365</v>
      </c>
      <c r="B368" s="30" t="str">
        <f t="shared" si="48"/>
        <v/>
      </c>
      <c r="C368" s="67" t="str">
        <f t="shared" ref="C368:C431" si="49">IFERROR(RANK(AG368,$AG$4:$AG$470,1),"")</f>
        <v/>
      </c>
      <c r="D368" s="105"/>
      <c r="E368" s="106"/>
      <c r="F368" s="106"/>
      <c r="G368" s="106"/>
      <c r="H368" s="107"/>
      <c r="I368" s="106"/>
      <c r="J368" s="106"/>
      <c r="K368" s="106"/>
      <c r="L368" s="106"/>
      <c r="M368" s="106"/>
      <c r="N368" s="108"/>
      <c r="O368" s="108" t="str">
        <f>IF(N368="","",IF('Event Dataset'!N368&lt;='Drop Downs and Assumptions'!$K$2,'Drop Downs and Assumptions'!$L$2,IF(AND('Event Dataset'!N368&gt;='Drop Downs and Assumptions'!$J$3,'Event Dataset'!N368&lt;='Drop Downs and Assumptions'!$K$3),'Drop Downs and Assumptions'!$L$3,IF(AND('Event Dataset'!N368&gt;='Drop Downs and Assumptions'!$J$4,'Event Dataset'!N368&lt;='Drop Downs and Assumptions'!$K$4),'Drop Downs and Assumptions'!$L$4,IF('Event Dataset'!N368&gt;='Drop Downs and Assumptions'!$J$5,'Drop Downs and Assumptions'!$L$5,"")))))</f>
        <v/>
      </c>
      <c r="P368" s="109"/>
      <c r="Q368" s="97"/>
      <c r="R368" s="110"/>
      <c r="S368" s="111"/>
      <c r="T368" s="111"/>
      <c r="U368" s="111"/>
      <c r="V368" s="111"/>
      <c r="W368" s="111"/>
      <c r="X368" s="111"/>
      <c r="Y368" s="111"/>
      <c r="Z368" s="111"/>
      <c r="AA368" s="111"/>
      <c r="AB368" s="111"/>
      <c r="AC368" s="112"/>
      <c r="AD368" s="113" t="str">
        <f t="shared" ref="AD368:AD431" si="50">IF(SUM(R368:AC368)=0,"",SUM(R368:AC368))</f>
        <v/>
      </c>
      <c r="AE368" s="114" t="str">
        <f t="shared" ref="AE368:AE431" si="51">IFERROR((SUMIF($R$3:$AC$3,"Recycling",$R368:$AC368)+SUMIF($R$3:$AC$3,"Reuse",$R368:$AC368)+SUMIF($R$3:$AC$3,"Alternative Fuels",$R368:$AC368))/AD368,"")</f>
        <v/>
      </c>
      <c r="AF368" s="115" t="str">
        <f t="shared" ref="AF368:AF431" si="52">IFERROR((SUMIF($R$3:$AC$3,"Recycling",$R368:$AC368))/AD368,"")</f>
        <v/>
      </c>
      <c r="AG368" s="116" t="str">
        <f t="shared" si="46"/>
        <v/>
      </c>
    </row>
    <row r="369" spans="1:33" x14ac:dyDescent="0.25">
      <c r="A369" s="16">
        <f t="shared" si="47"/>
        <v>366</v>
      </c>
      <c r="B369" s="31" t="str">
        <f t="shared" si="48"/>
        <v/>
      </c>
      <c r="C369" s="66" t="str">
        <f t="shared" si="49"/>
        <v/>
      </c>
      <c r="D369" s="92"/>
      <c r="E369" s="93"/>
      <c r="F369" s="93"/>
      <c r="G369" s="93"/>
      <c r="H369" s="94"/>
      <c r="I369" s="93"/>
      <c r="J369" s="93"/>
      <c r="K369" s="93"/>
      <c r="L369" s="93"/>
      <c r="M369" s="93"/>
      <c r="N369" s="95"/>
      <c r="O369" s="95" t="str">
        <f>IF(N369="","",IF('Event Dataset'!N369&lt;='Drop Downs and Assumptions'!$K$2,'Drop Downs and Assumptions'!$L$2,IF(AND('Event Dataset'!N369&gt;='Drop Downs and Assumptions'!$J$3,'Event Dataset'!N369&lt;='Drop Downs and Assumptions'!$K$3),'Drop Downs and Assumptions'!$L$3,IF(AND('Event Dataset'!N369&gt;='Drop Downs and Assumptions'!$J$4,'Event Dataset'!N369&lt;='Drop Downs and Assumptions'!$K$4),'Drop Downs and Assumptions'!$L$4,IF('Event Dataset'!N369&gt;='Drop Downs and Assumptions'!$J$5,'Drop Downs and Assumptions'!$L$5,"")))))</f>
        <v/>
      </c>
      <c r="P369" s="96"/>
      <c r="Q369" s="97"/>
      <c r="R369" s="98"/>
      <c r="S369" s="99"/>
      <c r="T369" s="99"/>
      <c r="U369" s="99"/>
      <c r="V369" s="99"/>
      <c r="W369" s="99"/>
      <c r="X369" s="99"/>
      <c r="Y369" s="99"/>
      <c r="Z369" s="99"/>
      <c r="AA369" s="99"/>
      <c r="AB369" s="99"/>
      <c r="AC369" s="100"/>
      <c r="AD369" s="101" t="str">
        <f t="shared" si="50"/>
        <v/>
      </c>
      <c r="AE369" s="102" t="str">
        <f t="shared" si="51"/>
        <v/>
      </c>
      <c r="AF369" s="103" t="str">
        <f t="shared" si="52"/>
        <v/>
      </c>
      <c r="AG369" s="104" t="str">
        <f t="shared" si="46"/>
        <v/>
      </c>
    </row>
    <row r="370" spans="1:33" x14ac:dyDescent="0.25">
      <c r="A370" s="4">
        <f t="shared" si="47"/>
        <v>367</v>
      </c>
      <c r="B370" s="30" t="str">
        <f t="shared" si="48"/>
        <v/>
      </c>
      <c r="C370" s="67" t="str">
        <f t="shared" si="49"/>
        <v/>
      </c>
      <c r="D370" s="105"/>
      <c r="E370" s="106"/>
      <c r="F370" s="106"/>
      <c r="G370" s="106"/>
      <c r="H370" s="107"/>
      <c r="I370" s="106"/>
      <c r="J370" s="106"/>
      <c r="K370" s="106"/>
      <c r="L370" s="106"/>
      <c r="M370" s="106"/>
      <c r="N370" s="108"/>
      <c r="O370" s="108" t="str">
        <f>IF(N370="","",IF('Event Dataset'!N370&lt;='Drop Downs and Assumptions'!$K$2,'Drop Downs and Assumptions'!$L$2,IF(AND('Event Dataset'!N370&gt;='Drop Downs and Assumptions'!$J$3,'Event Dataset'!N370&lt;='Drop Downs and Assumptions'!$K$3),'Drop Downs and Assumptions'!$L$3,IF(AND('Event Dataset'!N370&gt;='Drop Downs and Assumptions'!$J$4,'Event Dataset'!N370&lt;='Drop Downs and Assumptions'!$K$4),'Drop Downs and Assumptions'!$L$4,IF('Event Dataset'!N370&gt;='Drop Downs and Assumptions'!$J$5,'Drop Downs and Assumptions'!$L$5,"")))))</f>
        <v/>
      </c>
      <c r="P370" s="109"/>
      <c r="Q370" s="97"/>
      <c r="R370" s="110"/>
      <c r="S370" s="111"/>
      <c r="T370" s="111"/>
      <c r="U370" s="111"/>
      <c r="V370" s="111"/>
      <c r="W370" s="111"/>
      <c r="X370" s="111"/>
      <c r="Y370" s="111"/>
      <c r="Z370" s="111"/>
      <c r="AA370" s="111"/>
      <c r="AB370" s="111"/>
      <c r="AC370" s="112"/>
      <c r="AD370" s="113" t="str">
        <f t="shared" si="50"/>
        <v/>
      </c>
      <c r="AE370" s="114" t="str">
        <f t="shared" si="51"/>
        <v/>
      </c>
      <c r="AF370" s="115" t="str">
        <f t="shared" si="52"/>
        <v/>
      </c>
      <c r="AG370" s="116" t="str">
        <f t="shared" si="46"/>
        <v/>
      </c>
    </row>
    <row r="371" spans="1:33" x14ac:dyDescent="0.25">
      <c r="A371" s="16">
        <f t="shared" si="47"/>
        <v>368</v>
      </c>
      <c r="B371" s="31" t="str">
        <f t="shared" si="48"/>
        <v/>
      </c>
      <c r="C371" s="66" t="str">
        <f t="shared" si="49"/>
        <v/>
      </c>
      <c r="D371" s="92"/>
      <c r="E371" s="93"/>
      <c r="F371" s="93"/>
      <c r="G371" s="93"/>
      <c r="H371" s="94"/>
      <c r="I371" s="93"/>
      <c r="J371" s="93"/>
      <c r="K371" s="93"/>
      <c r="L371" s="93"/>
      <c r="M371" s="93"/>
      <c r="N371" s="95"/>
      <c r="O371" s="95" t="str">
        <f>IF(N371="","",IF('Event Dataset'!N371&lt;='Drop Downs and Assumptions'!$K$2,'Drop Downs and Assumptions'!$L$2,IF(AND('Event Dataset'!N371&gt;='Drop Downs and Assumptions'!$J$3,'Event Dataset'!N371&lt;='Drop Downs and Assumptions'!$K$3),'Drop Downs and Assumptions'!$L$3,IF(AND('Event Dataset'!N371&gt;='Drop Downs and Assumptions'!$J$4,'Event Dataset'!N371&lt;='Drop Downs and Assumptions'!$K$4),'Drop Downs and Assumptions'!$L$4,IF('Event Dataset'!N371&gt;='Drop Downs and Assumptions'!$J$5,'Drop Downs and Assumptions'!$L$5,"")))))</f>
        <v/>
      </c>
      <c r="P371" s="96"/>
      <c r="Q371" s="97"/>
      <c r="R371" s="98"/>
      <c r="S371" s="99"/>
      <c r="T371" s="99"/>
      <c r="U371" s="99"/>
      <c r="V371" s="99"/>
      <c r="W371" s="99"/>
      <c r="X371" s="99"/>
      <c r="Y371" s="99"/>
      <c r="Z371" s="99"/>
      <c r="AA371" s="99"/>
      <c r="AB371" s="99"/>
      <c r="AC371" s="100"/>
      <c r="AD371" s="101" t="str">
        <f t="shared" si="50"/>
        <v/>
      </c>
      <c r="AE371" s="102" t="str">
        <f t="shared" si="51"/>
        <v/>
      </c>
      <c r="AF371" s="103" t="str">
        <f t="shared" si="52"/>
        <v/>
      </c>
      <c r="AG371" s="104" t="str">
        <f t="shared" si="46"/>
        <v/>
      </c>
    </row>
    <row r="372" spans="1:33" x14ac:dyDescent="0.25">
      <c r="A372" s="4">
        <f t="shared" si="47"/>
        <v>369</v>
      </c>
      <c r="B372" s="30" t="str">
        <f t="shared" si="48"/>
        <v/>
      </c>
      <c r="C372" s="67" t="str">
        <f t="shared" si="49"/>
        <v/>
      </c>
      <c r="D372" s="105"/>
      <c r="E372" s="106"/>
      <c r="F372" s="106"/>
      <c r="G372" s="106"/>
      <c r="H372" s="107"/>
      <c r="I372" s="106"/>
      <c r="J372" s="106"/>
      <c r="K372" s="106"/>
      <c r="L372" s="106"/>
      <c r="M372" s="106"/>
      <c r="N372" s="108"/>
      <c r="O372" s="108" t="str">
        <f>IF(N372="","",IF('Event Dataset'!N372&lt;='Drop Downs and Assumptions'!$K$2,'Drop Downs and Assumptions'!$L$2,IF(AND('Event Dataset'!N372&gt;='Drop Downs and Assumptions'!$J$3,'Event Dataset'!N372&lt;='Drop Downs and Assumptions'!$K$3),'Drop Downs and Assumptions'!$L$3,IF(AND('Event Dataset'!N372&gt;='Drop Downs and Assumptions'!$J$4,'Event Dataset'!N372&lt;='Drop Downs and Assumptions'!$K$4),'Drop Downs and Assumptions'!$L$4,IF('Event Dataset'!N372&gt;='Drop Downs and Assumptions'!$J$5,'Drop Downs and Assumptions'!$L$5,"")))))</f>
        <v/>
      </c>
      <c r="P372" s="109"/>
      <c r="Q372" s="97"/>
      <c r="R372" s="110"/>
      <c r="S372" s="111"/>
      <c r="T372" s="111"/>
      <c r="U372" s="111"/>
      <c r="V372" s="111"/>
      <c r="W372" s="111"/>
      <c r="X372" s="111"/>
      <c r="Y372" s="111"/>
      <c r="Z372" s="111"/>
      <c r="AA372" s="111"/>
      <c r="AB372" s="111"/>
      <c r="AC372" s="112"/>
      <c r="AD372" s="113" t="str">
        <f t="shared" si="50"/>
        <v/>
      </c>
      <c r="AE372" s="114" t="str">
        <f t="shared" si="51"/>
        <v/>
      </c>
      <c r="AF372" s="115" t="str">
        <f t="shared" si="52"/>
        <v/>
      </c>
      <c r="AG372" s="116" t="str">
        <f t="shared" si="46"/>
        <v/>
      </c>
    </row>
    <row r="373" spans="1:33" x14ac:dyDescent="0.25">
      <c r="A373" s="16">
        <f t="shared" si="47"/>
        <v>370</v>
      </c>
      <c r="B373" s="31" t="str">
        <f t="shared" si="48"/>
        <v/>
      </c>
      <c r="C373" s="66" t="str">
        <f t="shared" si="49"/>
        <v/>
      </c>
      <c r="D373" s="92"/>
      <c r="E373" s="93"/>
      <c r="F373" s="93"/>
      <c r="G373" s="93"/>
      <c r="H373" s="94"/>
      <c r="I373" s="93"/>
      <c r="J373" s="93"/>
      <c r="K373" s="93"/>
      <c r="L373" s="93"/>
      <c r="M373" s="93"/>
      <c r="N373" s="95"/>
      <c r="O373" s="95" t="str">
        <f>IF(N373="","",IF('Event Dataset'!N373&lt;='Drop Downs and Assumptions'!$K$2,'Drop Downs and Assumptions'!$L$2,IF(AND('Event Dataset'!N373&gt;='Drop Downs and Assumptions'!$J$3,'Event Dataset'!N373&lt;='Drop Downs and Assumptions'!$K$3),'Drop Downs and Assumptions'!$L$3,IF(AND('Event Dataset'!N373&gt;='Drop Downs and Assumptions'!$J$4,'Event Dataset'!N373&lt;='Drop Downs and Assumptions'!$K$4),'Drop Downs and Assumptions'!$L$4,IF('Event Dataset'!N373&gt;='Drop Downs and Assumptions'!$J$5,'Drop Downs and Assumptions'!$L$5,"")))))</f>
        <v/>
      </c>
      <c r="P373" s="96"/>
      <c r="Q373" s="97"/>
      <c r="R373" s="98"/>
      <c r="S373" s="99"/>
      <c r="T373" s="99"/>
      <c r="U373" s="99"/>
      <c r="V373" s="99"/>
      <c r="W373" s="99"/>
      <c r="X373" s="99"/>
      <c r="Y373" s="99"/>
      <c r="Z373" s="99"/>
      <c r="AA373" s="99"/>
      <c r="AB373" s="99"/>
      <c r="AC373" s="100"/>
      <c r="AD373" s="101" t="str">
        <f t="shared" si="50"/>
        <v/>
      </c>
      <c r="AE373" s="102" t="str">
        <f t="shared" si="51"/>
        <v/>
      </c>
      <c r="AF373" s="103" t="str">
        <f t="shared" si="52"/>
        <v/>
      </c>
      <c r="AG373" s="104" t="str">
        <f t="shared" si="46"/>
        <v/>
      </c>
    </row>
    <row r="374" spans="1:33" x14ac:dyDescent="0.25">
      <c r="A374" s="4">
        <f t="shared" si="47"/>
        <v>371</v>
      </c>
      <c r="B374" s="30" t="str">
        <f t="shared" si="48"/>
        <v/>
      </c>
      <c r="C374" s="67" t="str">
        <f t="shared" si="49"/>
        <v/>
      </c>
      <c r="D374" s="105"/>
      <c r="E374" s="106"/>
      <c r="F374" s="106"/>
      <c r="G374" s="106"/>
      <c r="H374" s="107"/>
      <c r="I374" s="106"/>
      <c r="J374" s="106"/>
      <c r="K374" s="106"/>
      <c r="L374" s="106"/>
      <c r="M374" s="106"/>
      <c r="N374" s="108"/>
      <c r="O374" s="108" t="str">
        <f>IF(N374="","",IF('Event Dataset'!N374&lt;='Drop Downs and Assumptions'!$K$2,'Drop Downs and Assumptions'!$L$2,IF(AND('Event Dataset'!N374&gt;='Drop Downs and Assumptions'!$J$3,'Event Dataset'!N374&lt;='Drop Downs and Assumptions'!$K$3),'Drop Downs and Assumptions'!$L$3,IF(AND('Event Dataset'!N374&gt;='Drop Downs and Assumptions'!$J$4,'Event Dataset'!N374&lt;='Drop Downs and Assumptions'!$K$4),'Drop Downs and Assumptions'!$L$4,IF('Event Dataset'!N374&gt;='Drop Downs and Assumptions'!$J$5,'Drop Downs and Assumptions'!$L$5,"")))))</f>
        <v/>
      </c>
      <c r="P374" s="109"/>
      <c r="Q374" s="97"/>
      <c r="R374" s="110"/>
      <c r="S374" s="111"/>
      <c r="T374" s="111"/>
      <c r="U374" s="111"/>
      <c r="V374" s="111"/>
      <c r="W374" s="111"/>
      <c r="X374" s="111"/>
      <c r="Y374" s="111"/>
      <c r="Z374" s="111"/>
      <c r="AA374" s="111"/>
      <c r="AB374" s="111"/>
      <c r="AC374" s="112"/>
      <c r="AD374" s="113" t="str">
        <f t="shared" si="50"/>
        <v/>
      </c>
      <c r="AE374" s="114" t="str">
        <f t="shared" si="51"/>
        <v/>
      </c>
      <c r="AF374" s="115" t="str">
        <f t="shared" si="52"/>
        <v/>
      </c>
      <c r="AG374" s="116" t="str">
        <f t="shared" si="46"/>
        <v/>
      </c>
    </row>
    <row r="375" spans="1:33" x14ac:dyDescent="0.25">
      <c r="A375" s="16">
        <f t="shared" si="47"/>
        <v>372</v>
      </c>
      <c r="B375" s="31" t="str">
        <f t="shared" si="48"/>
        <v/>
      </c>
      <c r="C375" s="66" t="str">
        <f t="shared" si="49"/>
        <v/>
      </c>
      <c r="D375" s="92"/>
      <c r="E375" s="93"/>
      <c r="F375" s="93"/>
      <c r="G375" s="93"/>
      <c r="H375" s="94"/>
      <c r="I375" s="93"/>
      <c r="J375" s="93"/>
      <c r="K375" s="93"/>
      <c r="L375" s="93"/>
      <c r="M375" s="93"/>
      <c r="N375" s="95"/>
      <c r="O375" s="95" t="str">
        <f>IF(N375="","",IF('Event Dataset'!N375&lt;='Drop Downs and Assumptions'!$K$2,'Drop Downs and Assumptions'!$L$2,IF(AND('Event Dataset'!N375&gt;='Drop Downs and Assumptions'!$J$3,'Event Dataset'!N375&lt;='Drop Downs and Assumptions'!$K$3),'Drop Downs and Assumptions'!$L$3,IF(AND('Event Dataset'!N375&gt;='Drop Downs and Assumptions'!$J$4,'Event Dataset'!N375&lt;='Drop Downs and Assumptions'!$K$4),'Drop Downs and Assumptions'!$L$4,IF('Event Dataset'!N375&gt;='Drop Downs and Assumptions'!$J$5,'Drop Downs and Assumptions'!$L$5,"")))))</f>
        <v/>
      </c>
      <c r="P375" s="96"/>
      <c r="Q375" s="97"/>
      <c r="R375" s="98"/>
      <c r="S375" s="99"/>
      <c r="T375" s="99"/>
      <c r="U375" s="99"/>
      <c r="V375" s="99"/>
      <c r="W375" s="99"/>
      <c r="X375" s="99"/>
      <c r="Y375" s="99"/>
      <c r="Z375" s="99"/>
      <c r="AA375" s="99"/>
      <c r="AB375" s="99"/>
      <c r="AC375" s="100"/>
      <c r="AD375" s="101" t="str">
        <f t="shared" si="50"/>
        <v/>
      </c>
      <c r="AE375" s="102" t="str">
        <f t="shared" si="51"/>
        <v/>
      </c>
      <c r="AF375" s="103" t="str">
        <f t="shared" si="52"/>
        <v/>
      </c>
      <c r="AG375" s="104" t="str">
        <f t="shared" si="46"/>
        <v/>
      </c>
    </row>
    <row r="376" spans="1:33" x14ac:dyDescent="0.25">
      <c r="A376" s="4">
        <f t="shared" si="47"/>
        <v>373</v>
      </c>
      <c r="B376" s="30" t="str">
        <f t="shared" si="48"/>
        <v/>
      </c>
      <c r="C376" s="67" t="str">
        <f t="shared" si="49"/>
        <v/>
      </c>
      <c r="D376" s="105"/>
      <c r="E376" s="106"/>
      <c r="F376" s="106"/>
      <c r="G376" s="106"/>
      <c r="H376" s="107"/>
      <c r="I376" s="106"/>
      <c r="J376" s="106"/>
      <c r="K376" s="106"/>
      <c r="L376" s="106"/>
      <c r="M376" s="106"/>
      <c r="N376" s="108"/>
      <c r="O376" s="108" t="str">
        <f>IF(N376="","",IF('Event Dataset'!N376&lt;='Drop Downs and Assumptions'!$K$2,'Drop Downs and Assumptions'!$L$2,IF(AND('Event Dataset'!N376&gt;='Drop Downs and Assumptions'!$J$3,'Event Dataset'!N376&lt;='Drop Downs and Assumptions'!$K$3),'Drop Downs and Assumptions'!$L$3,IF(AND('Event Dataset'!N376&gt;='Drop Downs and Assumptions'!$J$4,'Event Dataset'!N376&lt;='Drop Downs and Assumptions'!$K$4),'Drop Downs and Assumptions'!$L$4,IF('Event Dataset'!N376&gt;='Drop Downs and Assumptions'!$J$5,'Drop Downs and Assumptions'!$L$5,"")))))</f>
        <v/>
      </c>
      <c r="P376" s="109"/>
      <c r="Q376" s="97"/>
      <c r="R376" s="110"/>
      <c r="S376" s="111"/>
      <c r="T376" s="111"/>
      <c r="U376" s="111"/>
      <c r="V376" s="111"/>
      <c r="W376" s="111"/>
      <c r="X376" s="111"/>
      <c r="Y376" s="111"/>
      <c r="Z376" s="111"/>
      <c r="AA376" s="111"/>
      <c r="AB376" s="111"/>
      <c r="AC376" s="112"/>
      <c r="AD376" s="113" t="str">
        <f t="shared" si="50"/>
        <v/>
      </c>
      <c r="AE376" s="114" t="str">
        <f t="shared" si="51"/>
        <v/>
      </c>
      <c r="AF376" s="115" t="str">
        <f t="shared" si="52"/>
        <v/>
      </c>
      <c r="AG376" s="116" t="str">
        <f t="shared" si="46"/>
        <v/>
      </c>
    </row>
    <row r="377" spans="1:33" x14ac:dyDescent="0.25">
      <c r="A377" s="16">
        <f t="shared" si="47"/>
        <v>374</v>
      </c>
      <c r="B377" s="31" t="str">
        <f t="shared" si="48"/>
        <v/>
      </c>
      <c r="C377" s="66" t="str">
        <f t="shared" si="49"/>
        <v/>
      </c>
      <c r="D377" s="92"/>
      <c r="E377" s="93"/>
      <c r="F377" s="93"/>
      <c r="G377" s="93"/>
      <c r="H377" s="94"/>
      <c r="I377" s="93"/>
      <c r="J377" s="93"/>
      <c r="K377" s="93"/>
      <c r="L377" s="93"/>
      <c r="M377" s="93"/>
      <c r="N377" s="95"/>
      <c r="O377" s="95" t="str">
        <f>IF(N377="","",IF('Event Dataset'!N377&lt;='Drop Downs and Assumptions'!$K$2,'Drop Downs and Assumptions'!$L$2,IF(AND('Event Dataset'!N377&gt;='Drop Downs and Assumptions'!$J$3,'Event Dataset'!N377&lt;='Drop Downs and Assumptions'!$K$3),'Drop Downs and Assumptions'!$L$3,IF(AND('Event Dataset'!N377&gt;='Drop Downs and Assumptions'!$J$4,'Event Dataset'!N377&lt;='Drop Downs and Assumptions'!$K$4),'Drop Downs and Assumptions'!$L$4,IF('Event Dataset'!N377&gt;='Drop Downs and Assumptions'!$J$5,'Drop Downs and Assumptions'!$L$5,"")))))</f>
        <v/>
      </c>
      <c r="P377" s="96"/>
      <c r="Q377" s="97"/>
      <c r="R377" s="98"/>
      <c r="S377" s="99"/>
      <c r="T377" s="99"/>
      <c r="U377" s="99"/>
      <c r="V377" s="99"/>
      <c r="W377" s="99"/>
      <c r="X377" s="99"/>
      <c r="Y377" s="99"/>
      <c r="Z377" s="99"/>
      <c r="AA377" s="99"/>
      <c r="AB377" s="99"/>
      <c r="AC377" s="100"/>
      <c r="AD377" s="101" t="str">
        <f t="shared" si="50"/>
        <v/>
      </c>
      <c r="AE377" s="102" t="str">
        <f t="shared" si="51"/>
        <v/>
      </c>
      <c r="AF377" s="103" t="str">
        <f t="shared" si="52"/>
        <v/>
      </c>
      <c r="AG377" s="104" t="str">
        <f t="shared" si="46"/>
        <v/>
      </c>
    </row>
    <row r="378" spans="1:33" x14ac:dyDescent="0.25">
      <c r="A378" s="4">
        <f t="shared" si="47"/>
        <v>375</v>
      </c>
      <c r="B378" s="30" t="str">
        <f t="shared" si="48"/>
        <v/>
      </c>
      <c r="C378" s="67" t="str">
        <f t="shared" si="49"/>
        <v/>
      </c>
      <c r="D378" s="105"/>
      <c r="E378" s="106"/>
      <c r="F378" s="106"/>
      <c r="G378" s="106"/>
      <c r="H378" s="107"/>
      <c r="I378" s="106"/>
      <c r="J378" s="106"/>
      <c r="K378" s="106"/>
      <c r="L378" s="106"/>
      <c r="M378" s="106"/>
      <c r="N378" s="108"/>
      <c r="O378" s="108" t="str">
        <f>IF(N378="","",IF('Event Dataset'!N378&lt;='Drop Downs and Assumptions'!$K$2,'Drop Downs and Assumptions'!$L$2,IF(AND('Event Dataset'!N378&gt;='Drop Downs and Assumptions'!$J$3,'Event Dataset'!N378&lt;='Drop Downs and Assumptions'!$K$3),'Drop Downs and Assumptions'!$L$3,IF(AND('Event Dataset'!N378&gt;='Drop Downs and Assumptions'!$J$4,'Event Dataset'!N378&lt;='Drop Downs and Assumptions'!$K$4),'Drop Downs and Assumptions'!$L$4,IF('Event Dataset'!N378&gt;='Drop Downs and Assumptions'!$J$5,'Drop Downs and Assumptions'!$L$5,"")))))</f>
        <v/>
      </c>
      <c r="P378" s="109"/>
      <c r="Q378" s="97"/>
      <c r="R378" s="110"/>
      <c r="S378" s="111"/>
      <c r="T378" s="111"/>
      <c r="U378" s="111"/>
      <c r="V378" s="111"/>
      <c r="W378" s="111"/>
      <c r="X378" s="111"/>
      <c r="Y378" s="111"/>
      <c r="Z378" s="111"/>
      <c r="AA378" s="111"/>
      <c r="AB378" s="111"/>
      <c r="AC378" s="112"/>
      <c r="AD378" s="113" t="str">
        <f t="shared" si="50"/>
        <v/>
      </c>
      <c r="AE378" s="114" t="str">
        <f t="shared" si="51"/>
        <v/>
      </c>
      <c r="AF378" s="115" t="str">
        <f t="shared" si="52"/>
        <v/>
      </c>
      <c r="AG378" s="116" t="str">
        <f t="shared" si="46"/>
        <v/>
      </c>
    </row>
    <row r="379" spans="1:33" x14ac:dyDescent="0.25">
      <c r="A379" s="16">
        <f t="shared" si="47"/>
        <v>376</v>
      </c>
      <c r="B379" s="31" t="str">
        <f t="shared" si="48"/>
        <v/>
      </c>
      <c r="C379" s="66" t="str">
        <f t="shared" si="49"/>
        <v/>
      </c>
      <c r="D379" s="92"/>
      <c r="E379" s="93"/>
      <c r="F379" s="93"/>
      <c r="G379" s="93"/>
      <c r="H379" s="94"/>
      <c r="I379" s="93"/>
      <c r="J379" s="93"/>
      <c r="K379" s="93"/>
      <c r="L379" s="93"/>
      <c r="M379" s="93"/>
      <c r="N379" s="95"/>
      <c r="O379" s="95" t="str">
        <f>IF(N379="","",IF('Event Dataset'!N379&lt;='Drop Downs and Assumptions'!$K$2,'Drop Downs and Assumptions'!$L$2,IF(AND('Event Dataset'!N379&gt;='Drop Downs and Assumptions'!$J$3,'Event Dataset'!N379&lt;='Drop Downs and Assumptions'!$K$3),'Drop Downs and Assumptions'!$L$3,IF(AND('Event Dataset'!N379&gt;='Drop Downs and Assumptions'!$J$4,'Event Dataset'!N379&lt;='Drop Downs and Assumptions'!$K$4),'Drop Downs and Assumptions'!$L$4,IF('Event Dataset'!N379&gt;='Drop Downs and Assumptions'!$J$5,'Drop Downs and Assumptions'!$L$5,"")))))</f>
        <v/>
      </c>
      <c r="P379" s="96"/>
      <c r="Q379" s="97"/>
      <c r="R379" s="98"/>
      <c r="S379" s="99"/>
      <c r="T379" s="99"/>
      <c r="U379" s="99"/>
      <c r="V379" s="99"/>
      <c r="W379" s="99"/>
      <c r="X379" s="99"/>
      <c r="Y379" s="99"/>
      <c r="Z379" s="99"/>
      <c r="AA379" s="99"/>
      <c r="AB379" s="99"/>
      <c r="AC379" s="100"/>
      <c r="AD379" s="101" t="str">
        <f t="shared" si="50"/>
        <v/>
      </c>
      <c r="AE379" s="102" t="str">
        <f t="shared" si="51"/>
        <v/>
      </c>
      <c r="AF379" s="103" t="str">
        <f t="shared" si="52"/>
        <v/>
      </c>
      <c r="AG379" s="104" t="str">
        <f t="shared" si="46"/>
        <v/>
      </c>
    </row>
    <row r="380" spans="1:33" x14ac:dyDescent="0.25">
      <c r="A380" s="4">
        <f t="shared" si="47"/>
        <v>377</v>
      </c>
      <c r="B380" s="30" t="str">
        <f t="shared" si="48"/>
        <v/>
      </c>
      <c r="C380" s="67" t="str">
        <f t="shared" si="49"/>
        <v/>
      </c>
      <c r="D380" s="105"/>
      <c r="E380" s="106"/>
      <c r="F380" s="106"/>
      <c r="G380" s="106"/>
      <c r="H380" s="107"/>
      <c r="I380" s="106"/>
      <c r="J380" s="106"/>
      <c r="K380" s="106"/>
      <c r="L380" s="106"/>
      <c r="M380" s="106"/>
      <c r="N380" s="108"/>
      <c r="O380" s="108" t="str">
        <f>IF(N380="","",IF('Event Dataset'!N380&lt;='Drop Downs and Assumptions'!$K$2,'Drop Downs and Assumptions'!$L$2,IF(AND('Event Dataset'!N380&gt;='Drop Downs and Assumptions'!$J$3,'Event Dataset'!N380&lt;='Drop Downs and Assumptions'!$K$3),'Drop Downs and Assumptions'!$L$3,IF(AND('Event Dataset'!N380&gt;='Drop Downs and Assumptions'!$J$4,'Event Dataset'!N380&lt;='Drop Downs and Assumptions'!$K$4),'Drop Downs and Assumptions'!$L$4,IF('Event Dataset'!N380&gt;='Drop Downs and Assumptions'!$J$5,'Drop Downs and Assumptions'!$L$5,"")))))</f>
        <v/>
      </c>
      <c r="P380" s="109"/>
      <c r="Q380" s="97"/>
      <c r="R380" s="110"/>
      <c r="S380" s="111"/>
      <c r="T380" s="111"/>
      <c r="U380" s="111"/>
      <c r="V380" s="111"/>
      <c r="W380" s="111"/>
      <c r="X380" s="111"/>
      <c r="Y380" s="111"/>
      <c r="Z380" s="111"/>
      <c r="AA380" s="111"/>
      <c r="AB380" s="111"/>
      <c r="AC380" s="112"/>
      <c r="AD380" s="113" t="str">
        <f t="shared" si="50"/>
        <v/>
      </c>
      <c r="AE380" s="114" t="str">
        <f t="shared" si="51"/>
        <v/>
      </c>
      <c r="AF380" s="115" t="str">
        <f t="shared" si="52"/>
        <v/>
      </c>
      <c r="AG380" s="116" t="str">
        <f t="shared" si="46"/>
        <v/>
      </c>
    </row>
    <row r="381" spans="1:33" x14ac:dyDescent="0.25">
      <c r="A381" s="16">
        <f t="shared" si="47"/>
        <v>378</v>
      </c>
      <c r="B381" s="31" t="str">
        <f t="shared" si="48"/>
        <v/>
      </c>
      <c r="C381" s="66" t="str">
        <f t="shared" si="49"/>
        <v/>
      </c>
      <c r="D381" s="92"/>
      <c r="E381" s="93"/>
      <c r="F381" s="93"/>
      <c r="G381" s="93"/>
      <c r="H381" s="94"/>
      <c r="I381" s="93"/>
      <c r="J381" s="93"/>
      <c r="K381" s="93"/>
      <c r="L381" s="93"/>
      <c r="M381" s="93"/>
      <c r="N381" s="95"/>
      <c r="O381" s="95" t="str">
        <f>IF(N381="","",IF('Event Dataset'!N381&lt;='Drop Downs and Assumptions'!$K$2,'Drop Downs and Assumptions'!$L$2,IF(AND('Event Dataset'!N381&gt;='Drop Downs and Assumptions'!$J$3,'Event Dataset'!N381&lt;='Drop Downs and Assumptions'!$K$3),'Drop Downs and Assumptions'!$L$3,IF(AND('Event Dataset'!N381&gt;='Drop Downs and Assumptions'!$J$4,'Event Dataset'!N381&lt;='Drop Downs and Assumptions'!$K$4),'Drop Downs and Assumptions'!$L$4,IF('Event Dataset'!N381&gt;='Drop Downs and Assumptions'!$J$5,'Drop Downs and Assumptions'!$L$5,"")))))</f>
        <v/>
      </c>
      <c r="P381" s="96"/>
      <c r="Q381" s="97"/>
      <c r="R381" s="98"/>
      <c r="S381" s="99"/>
      <c r="T381" s="99"/>
      <c r="U381" s="99"/>
      <c r="V381" s="99"/>
      <c r="W381" s="99"/>
      <c r="X381" s="99"/>
      <c r="Y381" s="99"/>
      <c r="Z381" s="99"/>
      <c r="AA381" s="99"/>
      <c r="AB381" s="99"/>
      <c r="AC381" s="100"/>
      <c r="AD381" s="101" t="str">
        <f t="shared" si="50"/>
        <v/>
      </c>
      <c r="AE381" s="102" t="str">
        <f t="shared" si="51"/>
        <v/>
      </c>
      <c r="AF381" s="103" t="str">
        <f t="shared" si="52"/>
        <v/>
      </c>
      <c r="AG381" s="104" t="str">
        <f t="shared" si="46"/>
        <v/>
      </c>
    </row>
    <row r="382" spans="1:33" x14ac:dyDescent="0.25">
      <c r="A382" s="4">
        <f t="shared" si="47"/>
        <v>379</v>
      </c>
      <c r="B382" s="30" t="str">
        <f t="shared" si="48"/>
        <v/>
      </c>
      <c r="C382" s="67" t="str">
        <f t="shared" si="49"/>
        <v/>
      </c>
      <c r="D382" s="105"/>
      <c r="E382" s="106"/>
      <c r="F382" s="106"/>
      <c r="G382" s="106"/>
      <c r="H382" s="107"/>
      <c r="I382" s="106"/>
      <c r="J382" s="106"/>
      <c r="K382" s="106"/>
      <c r="L382" s="106"/>
      <c r="M382" s="106"/>
      <c r="N382" s="108"/>
      <c r="O382" s="108" t="str">
        <f>IF(N382="","",IF('Event Dataset'!N382&lt;='Drop Downs and Assumptions'!$K$2,'Drop Downs and Assumptions'!$L$2,IF(AND('Event Dataset'!N382&gt;='Drop Downs and Assumptions'!$J$3,'Event Dataset'!N382&lt;='Drop Downs and Assumptions'!$K$3),'Drop Downs and Assumptions'!$L$3,IF(AND('Event Dataset'!N382&gt;='Drop Downs and Assumptions'!$J$4,'Event Dataset'!N382&lt;='Drop Downs and Assumptions'!$K$4),'Drop Downs and Assumptions'!$L$4,IF('Event Dataset'!N382&gt;='Drop Downs and Assumptions'!$J$5,'Drop Downs and Assumptions'!$L$5,"")))))</f>
        <v/>
      </c>
      <c r="P382" s="109"/>
      <c r="Q382" s="97"/>
      <c r="R382" s="110"/>
      <c r="S382" s="111"/>
      <c r="T382" s="111"/>
      <c r="U382" s="111"/>
      <c r="V382" s="111"/>
      <c r="W382" s="111"/>
      <c r="X382" s="111"/>
      <c r="Y382" s="111"/>
      <c r="Z382" s="111"/>
      <c r="AA382" s="111"/>
      <c r="AB382" s="111"/>
      <c r="AC382" s="112"/>
      <c r="AD382" s="113" t="str">
        <f t="shared" si="50"/>
        <v/>
      </c>
      <c r="AE382" s="114" t="str">
        <f t="shared" si="51"/>
        <v/>
      </c>
      <c r="AF382" s="115" t="str">
        <f t="shared" si="52"/>
        <v/>
      </c>
      <c r="AG382" s="116" t="str">
        <f t="shared" si="46"/>
        <v/>
      </c>
    </row>
    <row r="383" spans="1:33" x14ac:dyDescent="0.25">
      <c r="A383" s="16">
        <f t="shared" si="47"/>
        <v>380</v>
      </c>
      <c r="B383" s="31" t="str">
        <f t="shared" si="48"/>
        <v/>
      </c>
      <c r="C383" s="66" t="str">
        <f t="shared" si="49"/>
        <v/>
      </c>
      <c r="D383" s="92"/>
      <c r="E383" s="93"/>
      <c r="F383" s="93"/>
      <c r="G383" s="93"/>
      <c r="H383" s="94"/>
      <c r="I383" s="93"/>
      <c r="J383" s="93"/>
      <c r="K383" s="93"/>
      <c r="L383" s="93"/>
      <c r="M383" s="93"/>
      <c r="N383" s="95"/>
      <c r="O383" s="95" t="str">
        <f>IF(N383="","",IF('Event Dataset'!N383&lt;='Drop Downs and Assumptions'!$K$2,'Drop Downs and Assumptions'!$L$2,IF(AND('Event Dataset'!N383&gt;='Drop Downs and Assumptions'!$J$3,'Event Dataset'!N383&lt;='Drop Downs and Assumptions'!$K$3),'Drop Downs and Assumptions'!$L$3,IF(AND('Event Dataset'!N383&gt;='Drop Downs and Assumptions'!$J$4,'Event Dataset'!N383&lt;='Drop Downs and Assumptions'!$K$4),'Drop Downs and Assumptions'!$L$4,IF('Event Dataset'!N383&gt;='Drop Downs and Assumptions'!$J$5,'Drop Downs and Assumptions'!$L$5,"")))))</f>
        <v/>
      </c>
      <c r="P383" s="96"/>
      <c r="Q383" s="97"/>
      <c r="R383" s="98"/>
      <c r="S383" s="99"/>
      <c r="T383" s="99"/>
      <c r="U383" s="99"/>
      <c r="V383" s="99"/>
      <c r="W383" s="99"/>
      <c r="X383" s="99"/>
      <c r="Y383" s="99"/>
      <c r="Z383" s="99"/>
      <c r="AA383" s="99"/>
      <c r="AB383" s="99"/>
      <c r="AC383" s="100"/>
      <c r="AD383" s="101" t="str">
        <f t="shared" si="50"/>
        <v/>
      </c>
      <c r="AE383" s="102" t="str">
        <f t="shared" si="51"/>
        <v/>
      </c>
      <c r="AF383" s="103" t="str">
        <f t="shared" si="52"/>
        <v/>
      </c>
      <c r="AG383" s="104" t="str">
        <f t="shared" si="46"/>
        <v/>
      </c>
    </row>
    <row r="384" spans="1:33" x14ac:dyDescent="0.25">
      <c r="A384" s="4">
        <f t="shared" si="47"/>
        <v>381</v>
      </c>
      <c r="B384" s="30" t="str">
        <f t="shared" si="48"/>
        <v/>
      </c>
      <c r="C384" s="67" t="str">
        <f t="shared" si="49"/>
        <v/>
      </c>
      <c r="D384" s="105"/>
      <c r="E384" s="106"/>
      <c r="F384" s="106"/>
      <c r="G384" s="106"/>
      <c r="H384" s="107"/>
      <c r="I384" s="106"/>
      <c r="J384" s="106"/>
      <c r="K384" s="106"/>
      <c r="L384" s="106"/>
      <c r="M384" s="106"/>
      <c r="N384" s="108"/>
      <c r="O384" s="108" t="str">
        <f>IF(N384="","",IF('Event Dataset'!N384&lt;='Drop Downs and Assumptions'!$K$2,'Drop Downs and Assumptions'!$L$2,IF(AND('Event Dataset'!N384&gt;='Drop Downs and Assumptions'!$J$3,'Event Dataset'!N384&lt;='Drop Downs and Assumptions'!$K$3),'Drop Downs and Assumptions'!$L$3,IF(AND('Event Dataset'!N384&gt;='Drop Downs and Assumptions'!$J$4,'Event Dataset'!N384&lt;='Drop Downs and Assumptions'!$K$4),'Drop Downs and Assumptions'!$L$4,IF('Event Dataset'!N384&gt;='Drop Downs and Assumptions'!$J$5,'Drop Downs and Assumptions'!$L$5,"")))))</f>
        <v/>
      </c>
      <c r="P384" s="109"/>
      <c r="Q384" s="97"/>
      <c r="R384" s="110"/>
      <c r="S384" s="111"/>
      <c r="T384" s="111"/>
      <c r="U384" s="111"/>
      <c r="V384" s="111"/>
      <c r="W384" s="111"/>
      <c r="X384" s="111"/>
      <c r="Y384" s="111"/>
      <c r="Z384" s="111"/>
      <c r="AA384" s="111"/>
      <c r="AB384" s="111"/>
      <c r="AC384" s="112"/>
      <c r="AD384" s="113" t="str">
        <f t="shared" si="50"/>
        <v/>
      </c>
      <c r="AE384" s="114" t="str">
        <f t="shared" si="51"/>
        <v/>
      </c>
      <c r="AF384" s="115" t="str">
        <f t="shared" si="52"/>
        <v/>
      </c>
      <c r="AG384" s="116" t="str">
        <f t="shared" si="46"/>
        <v/>
      </c>
    </row>
    <row r="385" spans="1:33" x14ac:dyDescent="0.25">
      <c r="A385" s="16">
        <f t="shared" si="47"/>
        <v>382</v>
      </c>
      <c r="B385" s="31" t="str">
        <f t="shared" si="48"/>
        <v/>
      </c>
      <c r="C385" s="66" t="str">
        <f t="shared" si="49"/>
        <v/>
      </c>
      <c r="D385" s="92"/>
      <c r="E385" s="93"/>
      <c r="F385" s="93"/>
      <c r="G385" s="93"/>
      <c r="H385" s="94"/>
      <c r="I385" s="93"/>
      <c r="J385" s="93"/>
      <c r="K385" s="93"/>
      <c r="L385" s="93"/>
      <c r="M385" s="93"/>
      <c r="N385" s="95"/>
      <c r="O385" s="95" t="str">
        <f>IF(N385="","",IF('Event Dataset'!N385&lt;='Drop Downs and Assumptions'!$K$2,'Drop Downs and Assumptions'!$L$2,IF(AND('Event Dataset'!N385&gt;='Drop Downs and Assumptions'!$J$3,'Event Dataset'!N385&lt;='Drop Downs and Assumptions'!$K$3),'Drop Downs and Assumptions'!$L$3,IF(AND('Event Dataset'!N385&gt;='Drop Downs and Assumptions'!$J$4,'Event Dataset'!N385&lt;='Drop Downs and Assumptions'!$K$4),'Drop Downs and Assumptions'!$L$4,IF('Event Dataset'!N385&gt;='Drop Downs and Assumptions'!$J$5,'Drop Downs and Assumptions'!$L$5,"")))))</f>
        <v/>
      </c>
      <c r="P385" s="96"/>
      <c r="Q385" s="97"/>
      <c r="R385" s="98"/>
      <c r="S385" s="99"/>
      <c r="T385" s="99"/>
      <c r="U385" s="99"/>
      <c r="V385" s="99"/>
      <c r="W385" s="99"/>
      <c r="X385" s="99"/>
      <c r="Y385" s="99"/>
      <c r="Z385" s="99"/>
      <c r="AA385" s="99"/>
      <c r="AB385" s="99"/>
      <c r="AC385" s="100"/>
      <c r="AD385" s="101" t="str">
        <f t="shared" si="50"/>
        <v/>
      </c>
      <c r="AE385" s="102" t="str">
        <f t="shared" si="51"/>
        <v/>
      </c>
      <c r="AF385" s="103" t="str">
        <f t="shared" si="52"/>
        <v/>
      </c>
      <c r="AG385" s="104" t="str">
        <f t="shared" si="46"/>
        <v/>
      </c>
    </row>
    <row r="386" spans="1:33" x14ac:dyDescent="0.25">
      <c r="A386" s="4">
        <f t="shared" si="47"/>
        <v>383</v>
      </c>
      <c r="B386" s="30" t="str">
        <f t="shared" si="48"/>
        <v/>
      </c>
      <c r="C386" s="67" t="str">
        <f t="shared" si="49"/>
        <v/>
      </c>
      <c r="D386" s="105"/>
      <c r="E386" s="106"/>
      <c r="F386" s="106"/>
      <c r="G386" s="106"/>
      <c r="H386" s="107"/>
      <c r="I386" s="106"/>
      <c r="J386" s="106"/>
      <c r="K386" s="106"/>
      <c r="L386" s="106"/>
      <c r="M386" s="106"/>
      <c r="N386" s="108"/>
      <c r="O386" s="108" t="str">
        <f>IF(N386="","",IF('Event Dataset'!N386&lt;='Drop Downs and Assumptions'!$K$2,'Drop Downs and Assumptions'!$L$2,IF(AND('Event Dataset'!N386&gt;='Drop Downs and Assumptions'!$J$3,'Event Dataset'!N386&lt;='Drop Downs and Assumptions'!$K$3),'Drop Downs and Assumptions'!$L$3,IF(AND('Event Dataset'!N386&gt;='Drop Downs and Assumptions'!$J$4,'Event Dataset'!N386&lt;='Drop Downs and Assumptions'!$K$4),'Drop Downs and Assumptions'!$L$4,IF('Event Dataset'!N386&gt;='Drop Downs and Assumptions'!$J$5,'Drop Downs and Assumptions'!$L$5,"")))))</f>
        <v/>
      </c>
      <c r="P386" s="109"/>
      <c r="Q386" s="97"/>
      <c r="R386" s="110"/>
      <c r="S386" s="111"/>
      <c r="T386" s="111"/>
      <c r="U386" s="111"/>
      <c r="V386" s="111"/>
      <c r="W386" s="111"/>
      <c r="X386" s="111"/>
      <c r="Y386" s="111"/>
      <c r="Z386" s="111"/>
      <c r="AA386" s="111"/>
      <c r="AB386" s="111"/>
      <c r="AC386" s="112"/>
      <c r="AD386" s="113" t="str">
        <f t="shared" si="50"/>
        <v/>
      </c>
      <c r="AE386" s="114" t="str">
        <f t="shared" si="51"/>
        <v/>
      </c>
      <c r="AF386" s="115" t="str">
        <f t="shared" si="52"/>
        <v/>
      </c>
      <c r="AG386" s="116" t="str">
        <f t="shared" si="46"/>
        <v/>
      </c>
    </row>
    <row r="387" spans="1:33" x14ac:dyDescent="0.25">
      <c r="A387" s="16">
        <f t="shared" si="47"/>
        <v>384</v>
      </c>
      <c r="B387" s="31" t="str">
        <f t="shared" si="48"/>
        <v/>
      </c>
      <c r="C387" s="66" t="str">
        <f t="shared" si="49"/>
        <v/>
      </c>
      <c r="D387" s="92"/>
      <c r="E387" s="93"/>
      <c r="F387" s="93"/>
      <c r="G387" s="93"/>
      <c r="H387" s="94"/>
      <c r="I387" s="93"/>
      <c r="J387" s="93"/>
      <c r="K387" s="93"/>
      <c r="L387" s="93"/>
      <c r="M387" s="93"/>
      <c r="N387" s="95"/>
      <c r="O387" s="95" t="str">
        <f>IF(N387="","",IF('Event Dataset'!N387&lt;='Drop Downs and Assumptions'!$K$2,'Drop Downs and Assumptions'!$L$2,IF(AND('Event Dataset'!N387&gt;='Drop Downs and Assumptions'!$J$3,'Event Dataset'!N387&lt;='Drop Downs and Assumptions'!$K$3),'Drop Downs and Assumptions'!$L$3,IF(AND('Event Dataset'!N387&gt;='Drop Downs and Assumptions'!$J$4,'Event Dataset'!N387&lt;='Drop Downs and Assumptions'!$K$4),'Drop Downs and Assumptions'!$L$4,IF('Event Dataset'!N387&gt;='Drop Downs and Assumptions'!$J$5,'Drop Downs and Assumptions'!$L$5,"")))))</f>
        <v/>
      </c>
      <c r="P387" s="96"/>
      <c r="Q387" s="97"/>
      <c r="R387" s="98"/>
      <c r="S387" s="99"/>
      <c r="T387" s="99"/>
      <c r="U387" s="99"/>
      <c r="V387" s="99"/>
      <c r="W387" s="99"/>
      <c r="X387" s="99"/>
      <c r="Y387" s="99"/>
      <c r="Z387" s="99"/>
      <c r="AA387" s="99"/>
      <c r="AB387" s="99"/>
      <c r="AC387" s="100"/>
      <c r="AD387" s="101" t="str">
        <f t="shared" si="50"/>
        <v/>
      </c>
      <c r="AE387" s="102" t="str">
        <f t="shared" si="51"/>
        <v/>
      </c>
      <c r="AF387" s="103" t="str">
        <f t="shared" si="52"/>
        <v/>
      </c>
      <c r="AG387" s="104" t="str">
        <f t="shared" si="46"/>
        <v/>
      </c>
    </row>
    <row r="388" spans="1:33" x14ac:dyDescent="0.25">
      <c r="A388" s="4">
        <f t="shared" si="47"/>
        <v>385</v>
      </c>
      <c r="B388" s="30" t="str">
        <f t="shared" si="48"/>
        <v/>
      </c>
      <c r="C388" s="67" t="str">
        <f t="shared" si="49"/>
        <v/>
      </c>
      <c r="D388" s="105"/>
      <c r="E388" s="106"/>
      <c r="F388" s="106"/>
      <c r="G388" s="106"/>
      <c r="H388" s="107"/>
      <c r="I388" s="106"/>
      <c r="J388" s="106"/>
      <c r="K388" s="106"/>
      <c r="L388" s="106"/>
      <c r="M388" s="106"/>
      <c r="N388" s="108"/>
      <c r="O388" s="108" t="str">
        <f>IF(N388="","",IF('Event Dataset'!N388&lt;='Drop Downs and Assumptions'!$K$2,'Drop Downs and Assumptions'!$L$2,IF(AND('Event Dataset'!N388&gt;='Drop Downs and Assumptions'!$J$3,'Event Dataset'!N388&lt;='Drop Downs and Assumptions'!$K$3),'Drop Downs and Assumptions'!$L$3,IF(AND('Event Dataset'!N388&gt;='Drop Downs and Assumptions'!$J$4,'Event Dataset'!N388&lt;='Drop Downs and Assumptions'!$K$4),'Drop Downs and Assumptions'!$L$4,IF('Event Dataset'!N388&gt;='Drop Downs and Assumptions'!$J$5,'Drop Downs and Assumptions'!$L$5,"")))))</f>
        <v/>
      </c>
      <c r="P388" s="109"/>
      <c r="Q388" s="97"/>
      <c r="R388" s="110"/>
      <c r="S388" s="111"/>
      <c r="T388" s="111"/>
      <c r="U388" s="111"/>
      <c r="V388" s="111"/>
      <c r="W388" s="111"/>
      <c r="X388" s="111"/>
      <c r="Y388" s="111"/>
      <c r="Z388" s="111"/>
      <c r="AA388" s="111"/>
      <c r="AB388" s="111"/>
      <c r="AC388" s="112"/>
      <c r="AD388" s="113" t="str">
        <f t="shared" si="50"/>
        <v/>
      </c>
      <c r="AE388" s="114" t="str">
        <f t="shared" si="51"/>
        <v/>
      </c>
      <c r="AF388" s="115" t="str">
        <f t="shared" si="52"/>
        <v/>
      </c>
      <c r="AG388" s="116" t="str">
        <f t="shared" ref="AG388:AG451" si="53">IFERROR((AD388-AC388)*1000/P388/N388,"")</f>
        <v/>
      </c>
    </row>
    <row r="389" spans="1:33" x14ac:dyDescent="0.25">
      <c r="A389" s="16">
        <f t="shared" ref="A389:A452" si="54">A388+1</f>
        <v>386</v>
      </c>
      <c r="B389" s="31" t="str">
        <f t="shared" ref="B389:B452" si="55">IFERROR(RANK(AF389,$AF$4:$AF$470,0),"")</f>
        <v/>
      </c>
      <c r="C389" s="66" t="str">
        <f t="shared" si="49"/>
        <v/>
      </c>
      <c r="D389" s="92"/>
      <c r="E389" s="93"/>
      <c r="F389" s="93"/>
      <c r="G389" s="93"/>
      <c r="H389" s="94"/>
      <c r="I389" s="93"/>
      <c r="J389" s="93"/>
      <c r="K389" s="93"/>
      <c r="L389" s="93"/>
      <c r="M389" s="93"/>
      <c r="N389" s="95"/>
      <c r="O389" s="95" t="str">
        <f>IF(N389="","",IF('Event Dataset'!N389&lt;='Drop Downs and Assumptions'!$K$2,'Drop Downs and Assumptions'!$L$2,IF(AND('Event Dataset'!N389&gt;='Drop Downs and Assumptions'!$J$3,'Event Dataset'!N389&lt;='Drop Downs and Assumptions'!$K$3),'Drop Downs and Assumptions'!$L$3,IF(AND('Event Dataset'!N389&gt;='Drop Downs and Assumptions'!$J$4,'Event Dataset'!N389&lt;='Drop Downs and Assumptions'!$K$4),'Drop Downs and Assumptions'!$L$4,IF('Event Dataset'!N389&gt;='Drop Downs and Assumptions'!$J$5,'Drop Downs and Assumptions'!$L$5,"")))))</f>
        <v/>
      </c>
      <c r="P389" s="96"/>
      <c r="Q389" s="97"/>
      <c r="R389" s="98"/>
      <c r="S389" s="99"/>
      <c r="T389" s="99"/>
      <c r="U389" s="99"/>
      <c r="V389" s="99"/>
      <c r="W389" s="99"/>
      <c r="X389" s="99"/>
      <c r="Y389" s="99"/>
      <c r="Z389" s="99"/>
      <c r="AA389" s="99"/>
      <c r="AB389" s="99"/>
      <c r="AC389" s="100"/>
      <c r="AD389" s="101" t="str">
        <f t="shared" si="50"/>
        <v/>
      </c>
      <c r="AE389" s="102" t="str">
        <f t="shared" si="51"/>
        <v/>
      </c>
      <c r="AF389" s="103" t="str">
        <f t="shared" si="52"/>
        <v/>
      </c>
      <c r="AG389" s="104" t="str">
        <f t="shared" si="53"/>
        <v/>
      </c>
    </row>
    <row r="390" spans="1:33" x14ac:dyDescent="0.25">
      <c r="A390" s="4">
        <f t="shared" si="54"/>
        <v>387</v>
      </c>
      <c r="B390" s="30" t="str">
        <f t="shared" si="55"/>
        <v/>
      </c>
      <c r="C390" s="67" t="str">
        <f t="shared" si="49"/>
        <v/>
      </c>
      <c r="D390" s="105"/>
      <c r="E390" s="106"/>
      <c r="F390" s="106"/>
      <c r="G390" s="106"/>
      <c r="H390" s="107"/>
      <c r="I390" s="106"/>
      <c r="J390" s="106"/>
      <c r="K390" s="106"/>
      <c r="L390" s="106"/>
      <c r="M390" s="106"/>
      <c r="N390" s="108"/>
      <c r="O390" s="108" t="str">
        <f>IF(N390="","",IF('Event Dataset'!N390&lt;='Drop Downs and Assumptions'!$K$2,'Drop Downs and Assumptions'!$L$2,IF(AND('Event Dataset'!N390&gt;='Drop Downs and Assumptions'!$J$3,'Event Dataset'!N390&lt;='Drop Downs and Assumptions'!$K$3),'Drop Downs and Assumptions'!$L$3,IF(AND('Event Dataset'!N390&gt;='Drop Downs and Assumptions'!$J$4,'Event Dataset'!N390&lt;='Drop Downs and Assumptions'!$K$4),'Drop Downs and Assumptions'!$L$4,IF('Event Dataset'!N390&gt;='Drop Downs and Assumptions'!$J$5,'Drop Downs and Assumptions'!$L$5,"")))))</f>
        <v/>
      </c>
      <c r="P390" s="109"/>
      <c r="Q390" s="97"/>
      <c r="R390" s="110"/>
      <c r="S390" s="111"/>
      <c r="T390" s="111"/>
      <c r="U390" s="111"/>
      <c r="V390" s="111"/>
      <c r="W390" s="111"/>
      <c r="X390" s="111"/>
      <c r="Y390" s="111"/>
      <c r="Z390" s="111"/>
      <c r="AA390" s="111"/>
      <c r="AB390" s="111"/>
      <c r="AC390" s="112"/>
      <c r="AD390" s="113" t="str">
        <f t="shared" si="50"/>
        <v/>
      </c>
      <c r="AE390" s="114" t="str">
        <f t="shared" si="51"/>
        <v/>
      </c>
      <c r="AF390" s="115" t="str">
        <f t="shared" si="52"/>
        <v/>
      </c>
      <c r="AG390" s="116" t="str">
        <f t="shared" si="53"/>
        <v/>
      </c>
    </row>
    <row r="391" spans="1:33" x14ac:dyDescent="0.25">
      <c r="A391" s="16">
        <f t="shared" si="54"/>
        <v>388</v>
      </c>
      <c r="B391" s="31" t="str">
        <f t="shared" si="55"/>
        <v/>
      </c>
      <c r="C391" s="66" t="str">
        <f t="shared" si="49"/>
        <v/>
      </c>
      <c r="D391" s="92"/>
      <c r="E391" s="93"/>
      <c r="F391" s="93"/>
      <c r="G391" s="93"/>
      <c r="H391" s="94"/>
      <c r="I391" s="93"/>
      <c r="J391" s="93"/>
      <c r="K391" s="93"/>
      <c r="L391" s="93"/>
      <c r="M391" s="93"/>
      <c r="N391" s="95"/>
      <c r="O391" s="95" t="str">
        <f>IF(N391="","",IF('Event Dataset'!N391&lt;='Drop Downs and Assumptions'!$K$2,'Drop Downs and Assumptions'!$L$2,IF(AND('Event Dataset'!N391&gt;='Drop Downs and Assumptions'!$J$3,'Event Dataset'!N391&lt;='Drop Downs and Assumptions'!$K$3),'Drop Downs and Assumptions'!$L$3,IF(AND('Event Dataset'!N391&gt;='Drop Downs and Assumptions'!$J$4,'Event Dataset'!N391&lt;='Drop Downs and Assumptions'!$K$4),'Drop Downs and Assumptions'!$L$4,IF('Event Dataset'!N391&gt;='Drop Downs and Assumptions'!$J$5,'Drop Downs and Assumptions'!$L$5,"")))))</f>
        <v/>
      </c>
      <c r="P391" s="96"/>
      <c r="Q391" s="97"/>
      <c r="R391" s="98"/>
      <c r="S391" s="99"/>
      <c r="T391" s="99"/>
      <c r="U391" s="99"/>
      <c r="V391" s="99"/>
      <c r="W391" s="99"/>
      <c r="X391" s="99"/>
      <c r="Y391" s="99"/>
      <c r="Z391" s="99"/>
      <c r="AA391" s="99"/>
      <c r="AB391" s="99"/>
      <c r="AC391" s="100"/>
      <c r="AD391" s="101" t="str">
        <f t="shared" si="50"/>
        <v/>
      </c>
      <c r="AE391" s="102" t="str">
        <f t="shared" si="51"/>
        <v/>
      </c>
      <c r="AF391" s="103" t="str">
        <f t="shared" si="52"/>
        <v/>
      </c>
      <c r="AG391" s="104" t="str">
        <f t="shared" si="53"/>
        <v/>
      </c>
    </row>
    <row r="392" spans="1:33" x14ac:dyDescent="0.25">
      <c r="A392" s="4">
        <f t="shared" si="54"/>
        <v>389</v>
      </c>
      <c r="B392" s="30" t="str">
        <f t="shared" si="55"/>
        <v/>
      </c>
      <c r="C392" s="67" t="str">
        <f t="shared" si="49"/>
        <v/>
      </c>
      <c r="D392" s="105"/>
      <c r="E392" s="106"/>
      <c r="F392" s="106"/>
      <c r="G392" s="106"/>
      <c r="H392" s="107"/>
      <c r="I392" s="106"/>
      <c r="J392" s="106"/>
      <c r="K392" s="106"/>
      <c r="L392" s="106"/>
      <c r="M392" s="106"/>
      <c r="N392" s="108"/>
      <c r="O392" s="108" t="str">
        <f>IF(N392="","",IF('Event Dataset'!N392&lt;='Drop Downs and Assumptions'!$K$2,'Drop Downs and Assumptions'!$L$2,IF(AND('Event Dataset'!N392&gt;='Drop Downs and Assumptions'!$J$3,'Event Dataset'!N392&lt;='Drop Downs and Assumptions'!$K$3),'Drop Downs and Assumptions'!$L$3,IF(AND('Event Dataset'!N392&gt;='Drop Downs and Assumptions'!$J$4,'Event Dataset'!N392&lt;='Drop Downs and Assumptions'!$K$4),'Drop Downs and Assumptions'!$L$4,IF('Event Dataset'!N392&gt;='Drop Downs and Assumptions'!$J$5,'Drop Downs and Assumptions'!$L$5,"")))))</f>
        <v/>
      </c>
      <c r="P392" s="109"/>
      <c r="Q392" s="97"/>
      <c r="R392" s="110"/>
      <c r="S392" s="111"/>
      <c r="T392" s="111"/>
      <c r="U392" s="111"/>
      <c r="V392" s="111"/>
      <c r="W392" s="111"/>
      <c r="X392" s="111"/>
      <c r="Y392" s="111"/>
      <c r="Z392" s="111"/>
      <c r="AA392" s="111"/>
      <c r="AB392" s="111"/>
      <c r="AC392" s="112"/>
      <c r="AD392" s="113" t="str">
        <f t="shared" si="50"/>
        <v/>
      </c>
      <c r="AE392" s="114" t="str">
        <f t="shared" si="51"/>
        <v/>
      </c>
      <c r="AF392" s="115" t="str">
        <f t="shared" si="52"/>
        <v/>
      </c>
      <c r="AG392" s="116" t="str">
        <f t="shared" si="53"/>
        <v/>
      </c>
    </row>
    <row r="393" spans="1:33" x14ac:dyDescent="0.25">
      <c r="A393" s="16">
        <f t="shared" si="54"/>
        <v>390</v>
      </c>
      <c r="B393" s="31" t="str">
        <f t="shared" si="55"/>
        <v/>
      </c>
      <c r="C393" s="66" t="str">
        <f t="shared" si="49"/>
        <v/>
      </c>
      <c r="D393" s="92"/>
      <c r="E393" s="93"/>
      <c r="F393" s="93"/>
      <c r="G393" s="93"/>
      <c r="H393" s="94"/>
      <c r="I393" s="93"/>
      <c r="J393" s="93"/>
      <c r="K393" s="93"/>
      <c r="L393" s="93"/>
      <c r="M393" s="93"/>
      <c r="N393" s="95"/>
      <c r="O393" s="95" t="str">
        <f>IF(N393="","",IF('Event Dataset'!N393&lt;='Drop Downs and Assumptions'!$K$2,'Drop Downs and Assumptions'!$L$2,IF(AND('Event Dataset'!N393&gt;='Drop Downs and Assumptions'!$J$3,'Event Dataset'!N393&lt;='Drop Downs and Assumptions'!$K$3),'Drop Downs and Assumptions'!$L$3,IF(AND('Event Dataset'!N393&gt;='Drop Downs and Assumptions'!$J$4,'Event Dataset'!N393&lt;='Drop Downs and Assumptions'!$K$4),'Drop Downs and Assumptions'!$L$4,IF('Event Dataset'!N393&gt;='Drop Downs and Assumptions'!$J$5,'Drop Downs and Assumptions'!$L$5,"")))))</f>
        <v/>
      </c>
      <c r="P393" s="96"/>
      <c r="Q393" s="97"/>
      <c r="R393" s="98"/>
      <c r="S393" s="99"/>
      <c r="T393" s="99"/>
      <c r="U393" s="99"/>
      <c r="V393" s="99"/>
      <c r="W393" s="99"/>
      <c r="X393" s="99"/>
      <c r="Y393" s="99"/>
      <c r="Z393" s="99"/>
      <c r="AA393" s="99"/>
      <c r="AB393" s="99"/>
      <c r="AC393" s="100"/>
      <c r="AD393" s="101" t="str">
        <f t="shared" si="50"/>
        <v/>
      </c>
      <c r="AE393" s="102" t="str">
        <f t="shared" si="51"/>
        <v/>
      </c>
      <c r="AF393" s="103" t="str">
        <f t="shared" si="52"/>
        <v/>
      </c>
      <c r="AG393" s="104" t="str">
        <f t="shared" si="53"/>
        <v/>
      </c>
    </row>
    <row r="394" spans="1:33" x14ac:dyDescent="0.25">
      <c r="A394" s="4">
        <f t="shared" si="54"/>
        <v>391</v>
      </c>
      <c r="B394" s="30" t="str">
        <f t="shared" si="55"/>
        <v/>
      </c>
      <c r="C394" s="67" t="str">
        <f t="shared" si="49"/>
        <v/>
      </c>
      <c r="D394" s="105"/>
      <c r="E394" s="106"/>
      <c r="F394" s="106"/>
      <c r="G394" s="106"/>
      <c r="H394" s="107"/>
      <c r="I394" s="106"/>
      <c r="J394" s="106"/>
      <c r="K394" s="106"/>
      <c r="L394" s="106"/>
      <c r="M394" s="106"/>
      <c r="N394" s="108"/>
      <c r="O394" s="108" t="str">
        <f>IF(N394="","",IF('Event Dataset'!N394&lt;='Drop Downs and Assumptions'!$K$2,'Drop Downs and Assumptions'!$L$2,IF(AND('Event Dataset'!N394&gt;='Drop Downs and Assumptions'!$J$3,'Event Dataset'!N394&lt;='Drop Downs and Assumptions'!$K$3),'Drop Downs and Assumptions'!$L$3,IF(AND('Event Dataset'!N394&gt;='Drop Downs and Assumptions'!$J$4,'Event Dataset'!N394&lt;='Drop Downs and Assumptions'!$K$4),'Drop Downs and Assumptions'!$L$4,IF('Event Dataset'!N394&gt;='Drop Downs and Assumptions'!$J$5,'Drop Downs and Assumptions'!$L$5,"")))))</f>
        <v/>
      </c>
      <c r="P394" s="109"/>
      <c r="Q394" s="97"/>
      <c r="R394" s="110"/>
      <c r="S394" s="111"/>
      <c r="T394" s="111"/>
      <c r="U394" s="111"/>
      <c r="V394" s="111"/>
      <c r="W394" s="111"/>
      <c r="X394" s="111"/>
      <c r="Y394" s="111"/>
      <c r="Z394" s="111"/>
      <c r="AA394" s="111"/>
      <c r="AB394" s="111"/>
      <c r="AC394" s="112"/>
      <c r="AD394" s="113" t="str">
        <f t="shared" si="50"/>
        <v/>
      </c>
      <c r="AE394" s="114" t="str">
        <f t="shared" si="51"/>
        <v/>
      </c>
      <c r="AF394" s="115" t="str">
        <f t="shared" si="52"/>
        <v/>
      </c>
      <c r="AG394" s="116" t="str">
        <f t="shared" si="53"/>
        <v/>
      </c>
    </row>
    <row r="395" spans="1:33" x14ac:dyDescent="0.25">
      <c r="A395" s="16">
        <f t="shared" si="54"/>
        <v>392</v>
      </c>
      <c r="B395" s="31" t="str">
        <f t="shared" si="55"/>
        <v/>
      </c>
      <c r="C395" s="66" t="str">
        <f t="shared" si="49"/>
        <v/>
      </c>
      <c r="D395" s="92"/>
      <c r="E395" s="93"/>
      <c r="F395" s="93"/>
      <c r="G395" s="93"/>
      <c r="H395" s="94"/>
      <c r="I395" s="93"/>
      <c r="J395" s="93"/>
      <c r="K395" s="93"/>
      <c r="L395" s="93"/>
      <c r="M395" s="93"/>
      <c r="N395" s="95"/>
      <c r="O395" s="95" t="str">
        <f>IF(N395="","",IF('Event Dataset'!N395&lt;='Drop Downs and Assumptions'!$K$2,'Drop Downs and Assumptions'!$L$2,IF(AND('Event Dataset'!N395&gt;='Drop Downs and Assumptions'!$J$3,'Event Dataset'!N395&lt;='Drop Downs and Assumptions'!$K$3),'Drop Downs and Assumptions'!$L$3,IF(AND('Event Dataset'!N395&gt;='Drop Downs and Assumptions'!$J$4,'Event Dataset'!N395&lt;='Drop Downs and Assumptions'!$K$4),'Drop Downs and Assumptions'!$L$4,IF('Event Dataset'!N395&gt;='Drop Downs and Assumptions'!$J$5,'Drop Downs and Assumptions'!$L$5,"")))))</f>
        <v/>
      </c>
      <c r="P395" s="96"/>
      <c r="Q395" s="97"/>
      <c r="R395" s="98"/>
      <c r="S395" s="99"/>
      <c r="T395" s="99"/>
      <c r="U395" s="99"/>
      <c r="V395" s="99"/>
      <c r="W395" s="99"/>
      <c r="X395" s="99"/>
      <c r="Y395" s="99"/>
      <c r="Z395" s="99"/>
      <c r="AA395" s="99"/>
      <c r="AB395" s="99"/>
      <c r="AC395" s="100"/>
      <c r="AD395" s="101" t="str">
        <f t="shared" si="50"/>
        <v/>
      </c>
      <c r="AE395" s="102" t="str">
        <f t="shared" si="51"/>
        <v/>
      </c>
      <c r="AF395" s="103" t="str">
        <f t="shared" si="52"/>
        <v/>
      </c>
      <c r="AG395" s="104" t="str">
        <f t="shared" si="53"/>
        <v/>
      </c>
    </row>
    <row r="396" spans="1:33" x14ac:dyDescent="0.25">
      <c r="A396" s="4">
        <f t="shared" si="54"/>
        <v>393</v>
      </c>
      <c r="B396" s="30" t="str">
        <f t="shared" si="55"/>
        <v/>
      </c>
      <c r="C396" s="67" t="str">
        <f t="shared" si="49"/>
        <v/>
      </c>
      <c r="D396" s="105"/>
      <c r="E396" s="106"/>
      <c r="F396" s="106"/>
      <c r="G396" s="106"/>
      <c r="H396" s="107"/>
      <c r="I396" s="106"/>
      <c r="J396" s="106"/>
      <c r="K396" s="106"/>
      <c r="L396" s="106"/>
      <c r="M396" s="106"/>
      <c r="N396" s="108"/>
      <c r="O396" s="108" t="str">
        <f>IF(N396="","",IF('Event Dataset'!N396&lt;='Drop Downs and Assumptions'!$K$2,'Drop Downs and Assumptions'!$L$2,IF(AND('Event Dataset'!N396&gt;='Drop Downs and Assumptions'!$J$3,'Event Dataset'!N396&lt;='Drop Downs and Assumptions'!$K$3),'Drop Downs and Assumptions'!$L$3,IF(AND('Event Dataset'!N396&gt;='Drop Downs and Assumptions'!$J$4,'Event Dataset'!N396&lt;='Drop Downs and Assumptions'!$K$4),'Drop Downs and Assumptions'!$L$4,IF('Event Dataset'!N396&gt;='Drop Downs and Assumptions'!$J$5,'Drop Downs and Assumptions'!$L$5,"")))))</f>
        <v/>
      </c>
      <c r="P396" s="109"/>
      <c r="Q396" s="97"/>
      <c r="R396" s="110"/>
      <c r="S396" s="111"/>
      <c r="T396" s="111"/>
      <c r="U396" s="111"/>
      <c r="V396" s="111"/>
      <c r="W396" s="111"/>
      <c r="X396" s="111"/>
      <c r="Y396" s="111"/>
      <c r="Z396" s="111"/>
      <c r="AA396" s="111"/>
      <c r="AB396" s="111"/>
      <c r="AC396" s="112"/>
      <c r="AD396" s="113" t="str">
        <f t="shared" si="50"/>
        <v/>
      </c>
      <c r="AE396" s="114" t="str">
        <f t="shared" si="51"/>
        <v/>
      </c>
      <c r="AF396" s="115" t="str">
        <f t="shared" si="52"/>
        <v/>
      </c>
      <c r="AG396" s="116" t="str">
        <f t="shared" si="53"/>
        <v/>
      </c>
    </row>
    <row r="397" spans="1:33" x14ac:dyDescent="0.25">
      <c r="A397" s="16">
        <f t="shared" si="54"/>
        <v>394</v>
      </c>
      <c r="B397" s="31" t="str">
        <f t="shared" si="55"/>
        <v/>
      </c>
      <c r="C397" s="66" t="str">
        <f t="shared" si="49"/>
        <v/>
      </c>
      <c r="D397" s="92"/>
      <c r="E397" s="93"/>
      <c r="F397" s="93"/>
      <c r="G397" s="93"/>
      <c r="H397" s="94"/>
      <c r="I397" s="93"/>
      <c r="J397" s="93"/>
      <c r="K397" s="93"/>
      <c r="L397" s="93"/>
      <c r="M397" s="93"/>
      <c r="N397" s="95"/>
      <c r="O397" s="95" t="str">
        <f>IF(N397="","",IF('Event Dataset'!N397&lt;='Drop Downs and Assumptions'!$K$2,'Drop Downs and Assumptions'!$L$2,IF(AND('Event Dataset'!N397&gt;='Drop Downs and Assumptions'!$J$3,'Event Dataset'!N397&lt;='Drop Downs and Assumptions'!$K$3),'Drop Downs and Assumptions'!$L$3,IF(AND('Event Dataset'!N397&gt;='Drop Downs and Assumptions'!$J$4,'Event Dataset'!N397&lt;='Drop Downs and Assumptions'!$K$4),'Drop Downs and Assumptions'!$L$4,IF('Event Dataset'!N397&gt;='Drop Downs and Assumptions'!$J$5,'Drop Downs and Assumptions'!$L$5,"")))))</f>
        <v/>
      </c>
      <c r="P397" s="96"/>
      <c r="Q397" s="97"/>
      <c r="R397" s="98"/>
      <c r="S397" s="99"/>
      <c r="T397" s="99"/>
      <c r="U397" s="99"/>
      <c r="V397" s="99"/>
      <c r="W397" s="99"/>
      <c r="X397" s="99"/>
      <c r="Y397" s="99"/>
      <c r="Z397" s="99"/>
      <c r="AA397" s="99"/>
      <c r="AB397" s="99"/>
      <c r="AC397" s="100"/>
      <c r="AD397" s="101" t="str">
        <f t="shared" si="50"/>
        <v/>
      </c>
      <c r="AE397" s="102" t="str">
        <f t="shared" si="51"/>
        <v/>
      </c>
      <c r="AF397" s="103" t="str">
        <f t="shared" si="52"/>
        <v/>
      </c>
      <c r="AG397" s="104" t="str">
        <f t="shared" si="53"/>
        <v/>
      </c>
    </row>
    <row r="398" spans="1:33" x14ac:dyDescent="0.25">
      <c r="A398" s="4">
        <f t="shared" si="54"/>
        <v>395</v>
      </c>
      <c r="B398" s="30" t="str">
        <f t="shared" si="55"/>
        <v/>
      </c>
      <c r="C398" s="67" t="str">
        <f t="shared" si="49"/>
        <v/>
      </c>
      <c r="D398" s="105"/>
      <c r="E398" s="106"/>
      <c r="F398" s="106"/>
      <c r="G398" s="106"/>
      <c r="H398" s="107"/>
      <c r="I398" s="106"/>
      <c r="J398" s="106"/>
      <c r="K398" s="106"/>
      <c r="L398" s="106"/>
      <c r="M398" s="106"/>
      <c r="N398" s="108"/>
      <c r="O398" s="108" t="str">
        <f>IF(N398="","",IF('Event Dataset'!N398&lt;='Drop Downs and Assumptions'!$K$2,'Drop Downs and Assumptions'!$L$2,IF(AND('Event Dataset'!N398&gt;='Drop Downs and Assumptions'!$J$3,'Event Dataset'!N398&lt;='Drop Downs and Assumptions'!$K$3),'Drop Downs and Assumptions'!$L$3,IF(AND('Event Dataset'!N398&gt;='Drop Downs and Assumptions'!$J$4,'Event Dataset'!N398&lt;='Drop Downs and Assumptions'!$K$4),'Drop Downs and Assumptions'!$L$4,IF('Event Dataset'!N398&gt;='Drop Downs and Assumptions'!$J$5,'Drop Downs and Assumptions'!$L$5,"")))))</f>
        <v/>
      </c>
      <c r="P398" s="109"/>
      <c r="Q398" s="97"/>
      <c r="R398" s="110"/>
      <c r="S398" s="111"/>
      <c r="T398" s="111"/>
      <c r="U398" s="111"/>
      <c r="V398" s="111"/>
      <c r="W398" s="111"/>
      <c r="X398" s="111"/>
      <c r="Y398" s="111"/>
      <c r="Z398" s="111"/>
      <c r="AA398" s="111"/>
      <c r="AB398" s="111"/>
      <c r="AC398" s="112"/>
      <c r="AD398" s="113" t="str">
        <f t="shared" si="50"/>
        <v/>
      </c>
      <c r="AE398" s="114" t="str">
        <f t="shared" si="51"/>
        <v/>
      </c>
      <c r="AF398" s="115" t="str">
        <f t="shared" si="52"/>
        <v/>
      </c>
      <c r="AG398" s="116" t="str">
        <f t="shared" si="53"/>
        <v/>
      </c>
    </row>
    <row r="399" spans="1:33" x14ac:dyDescent="0.25">
      <c r="A399" s="16">
        <f t="shared" si="54"/>
        <v>396</v>
      </c>
      <c r="B399" s="31" t="str">
        <f t="shared" si="55"/>
        <v/>
      </c>
      <c r="C399" s="66" t="str">
        <f t="shared" si="49"/>
        <v/>
      </c>
      <c r="D399" s="92"/>
      <c r="E399" s="93"/>
      <c r="F399" s="93"/>
      <c r="G399" s="93"/>
      <c r="H399" s="94"/>
      <c r="I399" s="93"/>
      <c r="J399" s="93"/>
      <c r="K399" s="93"/>
      <c r="L399" s="93"/>
      <c r="M399" s="93"/>
      <c r="N399" s="95"/>
      <c r="O399" s="95" t="str">
        <f>IF(N399="","",IF('Event Dataset'!N399&lt;='Drop Downs and Assumptions'!$K$2,'Drop Downs and Assumptions'!$L$2,IF(AND('Event Dataset'!N399&gt;='Drop Downs and Assumptions'!$J$3,'Event Dataset'!N399&lt;='Drop Downs and Assumptions'!$K$3),'Drop Downs and Assumptions'!$L$3,IF(AND('Event Dataset'!N399&gt;='Drop Downs and Assumptions'!$J$4,'Event Dataset'!N399&lt;='Drop Downs and Assumptions'!$K$4),'Drop Downs and Assumptions'!$L$4,IF('Event Dataset'!N399&gt;='Drop Downs and Assumptions'!$J$5,'Drop Downs and Assumptions'!$L$5,"")))))</f>
        <v/>
      </c>
      <c r="P399" s="96"/>
      <c r="Q399" s="97"/>
      <c r="R399" s="98"/>
      <c r="S399" s="99"/>
      <c r="T399" s="99"/>
      <c r="U399" s="99"/>
      <c r="V399" s="99"/>
      <c r="W399" s="99"/>
      <c r="X399" s="99"/>
      <c r="Y399" s="99"/>
      <c r="Z399" s="99"/>
      <c r="AA399" s="99"/>
      <c r="AB399" s="99"/>
      <c r="AC399" s="100"/>
      <c r="AD399" s="101" t="str">
        <f t="shared" si="50"/>
        <v/>
      </c>
      <c r="AE399" s="102" t="str">
        <f t="shared" si="51"/>
        <v/>
      </c>
      <c r="AF399" s="103" t="str">
        <f t="shared" si="52"/>
        <v/>
      </c>
      <c r="AG399" s="104" t="str">
        <f t="shared" si="53"/>
        <v/>
      </c>
    </row>
    <row r="400" spans="1:33" x14ac:dyDescent="0.25">
      <c r="A400" s="4">
        <f t="shared" si="54"/>
        <v>397</v>
      </c>
      <c r="B400" s="30" t="str">
        <f t="shared" si="55"/>
        <v/>
      </c>
      <c r="C400" s="67" t="str">
        <f t="shared" si="49"/>
        <v/>
      </c>
      <c r="D400" s="105"/>
      <c r="E400" s="106"/>
      <c r="F400" s="106"/>
      <c r="G400" s="106"/>
      <c r="H400" s="107"/>
      <c r="I400" s="106"/>
      <c r="J400" s="106"/>
      <c r="K400" s="106"/>
      <c r="L400" s="106"/>
      <c r="M400" s="106"/>
      <c r="N400" s="108"/>
      <c r="O400" s="108" t="str">
        <f>IF(N400="","",IF('Event Dataset'!N400&lt;='Drop Downs and Assumptions'!$K$2,'Drop Downs and Assumptions'!$L$2,IF(AND('Event Dataset'!N400&gt;='Drop Downs and Assumptions'!$J$3,'Event Dataset'!N400&lt;='Drop Downs and Assumptions'!$K$3),'Drop Downs and Assumptions'!$L$3,IF(AND('Event Dataset'!N400&gt;='Drop Downs and Assumptions'!$J$4,'Event Dataset'!N400&lt;='Drop Downs and Assumptions'!$K$4),'Drop Downs and Assumptions'!$L$4,IF('Event Dataset'!N400&gt;='Drop Downs and Assumptions'!$J$5,'Drop Downs and Assumptions'!$L$5,"")))))</f>
        <v/>
      </c>
      <c r="P400" s="109"/>
      <c r="Q400" s="97"/>
      <c r="R400" s="110"/>
      <c r="S400" s="111"/>
      <c r="T400" s="111"/>
      <c r="U400" s="111"/>
      <c r="V400" s="111"/>
      <c r="W400" s="111"/>
      <c r="X400" s="111"/>
      <c r="Y400" s="111"/>
      <c r="Z400" s="111"/>
      <c r="AA400" s="111"/>
      <c r="AB400" s="111"/>
      <c r="AC400" s="112"/>
      <c r="AD400" s="113" t="str">
        <f t="shared" si="50"/>
        <v/>
      </c>
      <c r="AE400" s="114" t="str">
        <f t="shared" si="51"/>
        <v/>
      </c>
      <c r="AF400" s="115" t="str">
        <f t="shared" si="52"/>
        <v/>
      </c>
      <c r="AG400" s="116" t="str">
        <f t="shared" si="53"/>
        <v/>
      </c>
    </row>
    <row r="401" spans="1:33" x14ac:dyDescent="0.25">
      <c r="A401" s="16">
        <f t="shared" si="54"/>
        <v>398</v>
      </c>
      <c r="B401" s="31" t="str">
        <f t="shared" si="55"/>
        <v/>
      </c>
      <c r="C401" s="66" t="str">
        <f t="shared" si="49"/>
        <v/>
      </c>
      <c r="D401" s="92"/>
      <c r="E401" s="93"/>
      <c r="F401" s="93"/>
      <c r="G401" s="93"/>
      <c r="H401" s="94"/>
      <c r="I401" s="93"/>
      <c r="J401" s="93"/>
      <c r="K401" s="93"/>
      <c r="L401" s="93"/>
      <c r="M401" s="93"/>
      <c r="N401" s="95"/>
      <c r="O401" s="95" t="str">
        <f>IF(N401="","",IF('Event Dataset'!N401&lt;='Drop Downs and Assumptions'!$K$2,'Drop Downs and Assumptions'!$L$2,IF(AND('Event Dataset'!N401&gt;='Drop Downs and Assumptions'!$J$3,'Event Dataset'!N401&lt;='Drop Downs and Assumptions'!$K$3),'Drop Downs and Assumptions'!$L$3,IF(AND('Event Dataset'!N401&gt;='Drop Downs and Assumptions'!$J$4,'Event Dataset'!N401&lt;='Drop Downs and Assumptions'!$K$4),'Drop Downs and Assumptions'!$L$4,IF('Event Dataset'!N401&gt;='Drop Downs and Assumptions'!$J$5,'Drop Downs and Assumptions'!$L$5,"")))))</f>
        <v/>
      </c>
      <c r="P401" s="96"/>
      <c r="Q401" s="97"/>
      <c r="R401" s="98"/>
      <c r="S401" s="99"/>
      <c r="T401" s="99"/>
      <c r="U401" s="99"/>
      <c r="V401" s="99"/>
      <c r="W401" s="99"/>
      <c r="X401" s="99"/>
      <c r="Y401" s="99"/>
      <c r="Z401" s="99"/>
      <c r="AA401" s="99"/>
      <c r="AB401" s="99"/>
      <c r="AC401" s="100"/>
      <c r="AD401" s="101" t="str">
        <f t="shared" si="50"/>
        <v/>
      </c>
      <c r="AE401" s="102" t="str">
        <f t="shared" si="51"/>
        <v/>
      </c>
      <c r="AF401" s="103" t="str">
        <f t="shared" si="52"/>
        <v/>
      </c>
      <c r="AG401" s="104" t="str">
        <f t="shared" si="53"/>
        <v/>
      </c>
    </row>
    <row r="402" spans="1:33" x14ac:dyDescent="0.25">
      <c r="A402" s="4">
        <f t="shared" si="54"/>
        <v>399</v>
      </c>
      <c r="B402" s="30" t="str">
        <f t="shared" si="55"/>
        <v/>
      </c>
      <c r="C402" s="67" t="str">
        <f t="shared" si="49"/>
        <v/>
      </c>
      <c r="D402" s="105"/>
      <c r="E402" s="106"/>
      <c r="F402" s="106"/>
      <c r="G402" s="106"/>
      <c r="H402" s="107"/>
      <c r="I402" s="106"/>
      <c r="J402" s="106"/>
      <c r="K402" s="106"/>
      <c r="L402" s="106"/>
      <c r="M402" s="106"/>
      <c r="N402" s="108"/>
      <c r="O402" s="108" t="str">
        <f>IF(N402="","",IF('Event Dataset'!N402&lt;='Drop Downs and Assumptions'!$K$2,'Drop Downs and Assumptions'!$L$2,IF(AND('Event Dataset'!N402&gt;='Drop Downs and Assumptions'!$J$3,'Event Dataset'!N402&lt;='Drop Downs and Assumptions'!$K$3),'Drop Downs and Assumptions'!$L$3,IF(AND('Event Dataset'!N402&gt;='Drop Downs and Assumptions'!$J$4,'Event Dataset'!N402&lt;='Drop Downs and Assumptions'!$K$4),'Drop Downs and Assumptions'!$L$4,IF('Event Dataset'!N402&gt;='Drop Downs and Assumptions'!$J$5,'Drop Downs and Assumptions'!$L$5,"")))))</f>
        <v/>
      </c>
      <c r="P402" s="109"/>
      <c r="Q402" s="97"/>
      <c r="R402" s="110"/>
      <c r="S402" s="111"/>
      <c r="T402" s="111"/>
      <c r="U402" s="111"/>
      <c r="V402" s="111"/>
      <c r="W402" s="111"/>
      <c r="X402" s="111"/>
      <c r="Y402" s="111"/>
      <c r="Z402" s="111"/>
      <c r="AA402" s="111"/>
      <c r="AB402" s="111"/>
      <c r="AC402" s="112"/>
      <c r="AD402" s="113" t="str">
        <f t="shared" si="50"/>
        <v/>
      </c>
      <c r="AE402" s="114" t="str">
        <f t="shared" si="51"/>
        <v/>
      </c>
      <c r="AF402" s="115" t="str">
        <f t="shared" si="52"/>
        <v/>
      </c>
      <c r="AG402" s="116" t="str">
        <f t="shared" si="53"/>
        <v/>
      </c>
    </row>
    <row r="403" spans="1:33" x14ac:dyDescent="0.25">
      <c r="A403" s="16">
        <f t="shared" si="54"/>
        <v>400</v>
      </c>
      <c r="B403" s="31" t="str">
        <f t="shared" si="55"/>
        <v/>
      </c>
      <c r="C403" s="66" t="str">
        <f t="shared" si="49"/>
        <v/>
      </c>
      <c r="D403" s="92"/>
      <c r="E403" s="93"/>
      <c r="F403" s="93"/>
      <c r="G403" s="93"/>
      <c r="H403" s="94"/>
      <c r="I403" s="93"/>
      <c r="J403" s="93"/>
      <c r="K403" s="93"/>
      <c r="L403" s="93"/>
      <c r="M403" s="93"/>
      <c r="N403" s="95"/>
      <c r="O403" s="95" t="str">
        <f>IF(N403="","",IF('Event Dataset'!N403&lt;='Drop Downs and Assumptions'!$K$2,'Drop Downs and Assumptions'!$L$2,IF(AND('Event Dataset'!N403&gt;='Drop Downs and Assumptions'!$J$3,'Event Dataset'!N403&lt;='Drop Downs and Assumptions'!$K$3),'Drop Downs and Assumptions'!$L$3,IF(AND('Event Dataset'!N403&gt;='Drop Downs and Assumptions'!$J$4,'Event Dataset'!N403&lt;='Drop Downs and Assumptions'!$K$4),'Drop Downs and Assumptions'!$L$4,IF('Event Dataset'!N403&gt;='Drop Downs and Assumptions'!$J$5,'Drop Downs and Assumptions'!$L$5,"")))))</f>
        <v/>
      </c>
      <c r="P403" s="96"/>
      <c r="Q403" s="97"/>
      <c r="R403" s="98"/>
      <c r="S403" s="99"/>
      <c r="T403" s="99"/>
      <c r="U403" s="99"/>
      <c r="V403" s="99"/>
      <c r="W403" s="99"/>
      <c r="X403" s="99"/>
      <c r="Y403" s="99"/>
      <c r="Z403" s="99"/>
      <c r="AA403" s="99"/>
      <c r="AB403" s="99"/>
      <c r="AC403" s="100"/>
      <c r="AD403" s="101" t="str">
        <f t="shared" si="50"/>
        <v/>
      </c>
      <c r="AE403" s="102" t="str">
        <f t="shared" si="51"/>
        <v/>
      </c>
      <c r="AF403" s="103" t="str">
        <f t="shared" si="52"/>
        <v/>
      </c>
      <c r="AG403" s="104" t="str">
        <f t="shared" si="53"/>
        <v/>
      </c>
    </row>
    <row r="404" spans="1:33" x14ac:dyDescent="0.25">
      <c r="A404" s="4">
        <f t="shared" si="54"/>
        <v>401</v>
      </c>
      <c r="B404" s="30" t="str">
        <f t="shared" si="55"/>
        <v/>
      </c>
      <c r="C404" s="67" t="str">
        <f t="shared" si="49"/>
        <v/>
      </c>
      <c r="D404" s="105"/>
      <c r="E404" s="106"/>
      <c r="F404" s="106"/>
      <c r="G404" s="106"/>
      <c r="H404" s="107"/>
      <c r="I404" s="106"/>
      <c r="J404" s="106"/>
      <c r="K404" s="106"/>
      <c r="L404" s="106"/>
      <c r="M404" s="106"/>
      <c r="N404" s="108"/>
      <c r="O404" s="108" t="str">
        <f>IF(N404="","",IF('Event Dataset'!N404&lt;='Drop Downs and Assumptions'!$K$2,'Drop Downs and Assumptions'!$L$2,IF(AND('Event Dataset'!N404&gt;='Drop Downs and Assumptions'!$J$3,'Event Dataset'!N404&lt;='Drop Downs and Assumptions'!$K$3),'Drop Downs and Assumptions'!$L$3,IF(AND('Event Dataset'!N404&gt;='Drop Downs and Assumptions'!$J$4,'Event Dataset'!N404&lt;='Drop Downs and Assumptions'!$K$4),'Drop Downs and Assumptions'!$L$4,IF('Event Dataset'!N404&gt;='Drop Downs and Assumptions'!$J$5,'Drop Downs and Assumptions'!$L$5,"")))))</f>
        <v/>
      </c>
      <c r="P404" s="109"/>
      <c r="Q404" s="97"/>
      <c r="R404" s="110"/>
      <c r="S404" s="111"/>
      <c r="T404" s="111"/>
      <c r="U404" s="111"/>
      <c r="V404" s="111"/>
      <c r="W404" s="111"/>
      <c r="X404" s="111"/>
      <c r="Y404" s="111"/>
      <c r="Z404" s="111"/>
      <c r="AA404" s="111"/>
      <c r="AB404" s="111"/>
      <c r="AC404" s="112"/>
      <c r="AD404" s="113" t="str">
        <f t="shared" si="50"/>
        <v/>
      </c>
      <c r="AE404" s="114" t="str">
        <f t="shared" si="51"/>
        <v/>
      </c>
      <c r="AF404" s="115" t="str">
        <f t="shared" si="52"/>
        <v/>
      </c>
      <c r="AG404" s="116" t="str">
        <f t="shared" si="53"/>
        <v/>
      </c>
    </row>
    <row r="405" spans="1:33" x14ac:dyDescent="0.25">
      <c r="A405" s="16">
        <f t="shared" si="54"/>
        <v>402</v>
      </c>
      <c r="B405" s="31" t="str">
        <f t="shared" si="55"/>
        <v/>
      </c>
      <c r="C405" s="66" t="str">
        <f t="shared" si="49"/>
        <v/>
      </c>
      <c r="D405" s="92"/>
      <c r="E405" s="93"/>
      <c r="F405" s="93"/>
      <c r="G405" s="93"/>
      <c r="H405" s="94"/>
      <c r="I405" s="93"/>
      <c r="J405" s="93"/>
      <c r="K405" s="93"/>
      <c r="L405" s="93"/>
      <c r="M405" s="93"/>
      <c r="N405" s="95"/>
      <c r="O405" s="95" t="str">
        <f>IF(N405="","",IF('Event Dataset'!N405&lt;='Drop Downs and Assumptions'!$K$2,'Drop Downs and Assumptions'!$L$2,IF(AND('Event Dataset'!N405&gt;='Drop Downs and Assumptions'!$J$3,'Event Dataset'!N405&lt;='Drop Downs and Assumptions'!$K$3),'Drop Downs and Assumptions'!$L$3,IF(AND('Event Dataset'!N405&gt;='Drop Downs and Assumptions'!$J$4,'Event Dataset'!N405&lt;='Drop Downs and Assumptions'!$K$4),'Drop Downs and Assumptions'!$L$4,IF('Event Dataset'!N405&gt;='Drop Downs and Assumptions'!$J$5,'Drop Downs and Assumptions'!$L$5,"")))))</f>
        <v/>
      </c>
      <c r="P405" s="96"/>
      <c r="Q405" s="97"/>
      <c r="R405" s="98"/>
      <c r="S405" s="99"/>
      <c r="T405" s="99"/>
      <c r="U405" s="99"/>
      <c r="V405" s="99"/>
      <c r="W405" s="99"/>
      <c r="X405" s="99"/>
      <c r="Y405" s="99"/>
      <c r="Z405" s="99"/>
      <c r="AA405" s="99"/>
      <c r="AB405" s="99"/>
      <c r="AC405" s="100"/>
      <c r="AD405" s="101" t="str">
        <f t="shared" si="50"/>
        <v/>
      </c>
      <c r="AE405" s="102" t="str">
        <f t="shared" si="51"/>
        <v/>
      </c>
      <c r="AF405" s="103" t="str">
        <f t="shared" si="52"/>
        <v/>
      </c>
      <c r="AG405" s="104" t="str">
        <f t="shared" si="53"/>
        <v/>
      </c>
    </row>
    <row r="406" spans="1:33" x14ac:dyDescent="0.25">
      <c r="A406" s="4">
        <f t="shared" si="54"/>
        <v>403</v>
      </c>
      <c r="B406" s="30" t="str">
        <f t="shared" si="55"/>
        <v/>
      </c>
      <c r="C406" s="67" t="str">
        <f t="shared" si="49"/>
        <v/>
      </c>
      <c r="D406" s="105"/>
      <c r="E406" s="106"/>
      <c r="F406" s="106"/>
      <c r="G406" s="106"/>
      <c r="H406" s="107"/>
      <c r="I406" s="106"/>
      <c r="J406" s="106"/>
      <c r="K406" s="106"/>
      <c r="L406" s="106"/>
      <c r="M406" s="106"/>
      <c r="N406" s="108"/>
      <c r="O406" s="108" t="str">
        <f>IF(N406="","",IF('Event Dataset'!N406&lt;='Drop Downs and Assumptions'!$K$2,'Drop Downs and Assumptions'!$L$2,IF(AND('Event Dataset'!N406&gt;='Drop Downs and Assumptions'!$J$3,'Event Dataset'!N406&lt;='Drop Downs and Assumptions'!$K$3),'Drop Downs and Assumptions'!$L$3,IF(AND('Event Dataset'!N406&gt;='Drop Downs and Assumptions'!$J$4,'Event Dataset'!N406&lt;='Drop Downs and Assumptions'!$K$4),'Drop Downs and Assumptions'!$L$4,IF('Event Dataset'!N406&gt;='Drop Downs and Assumptions'!$J$5,'Drop Downs and Assumptions'!$L$5,"")))))</f>
        <v/>
      </c>
      <c r="P406" s="109"/>
      <c r="Q406" s="97"/>
      <c r="R406" s="110"/>
      <c r="S406" s="111"/>
      <c r="T406" s="111"/>
      <c r="U406" s="111"/>
      <c r="V406" s="111"/>
      <c r="W406" s="111"/>
      <c r="X406" s="111"/>
      <c r="Y406" s="111"/>
      <c r="Z406" s="111"/>
      <c r="AA406" s="111"/>
      <c r="AB406" s="111"/>
      <c r="AC406" s="112"/>
      <c r="AD406" s="113" t="str">
        <f t="shared" si="50"/>
        <v/>
      </c>
      <c r="AE406" s="114" t="str">
        <f t="shared" si="51"/>
        <v/>
      </c>
      <c r="AF406" s="115" t="str">
        <f t="shared" si="52"/>
        <v/>
      </c>
      <c r="AG406" s="116" t="str">
        <f t="shared" si="53"/>
        <v/>
      </c>
    </row>
    <row r="407" spans="1:33" x14ac:dyDescent="0.25">
      <c r="A407" s="16">
        <f t="shared" si="54"/>
        <v>404</v>
      </c>
      <c r="B407" s="31" t="str">
        <f t="shared" si="55"/>
        <v/>
      </c>
      <c r="C407" s="66" t="str">
        <f t="shared" si="49"/>
        <v/>
      </c>
      <c r="D407" s="92"/>
      <c r="E407" s="93"/>
      <c r="F407" s="93"/>
      <c r="G407" s="93"/>
      <c r="H407" s="94"/>
      <c r="I407" s="93"/>
      <c r="J407" s="93"/>
      <c r="K407" s="93"/>
      <c r="L407" s="93"/>
      <c r="M407" s="93"/>
      <c r="N407" s="95"/>
      <c r="O407" s="95" t="str">
        <f>IF(N407="","",IF('Event Dataset'!N407&lt;='Drop Downs and Assumptions'!$K$2,'Drop Downs and Assumptions'!$L$2,IF(AND('Event Dataset'!N407&gt;='Drop Downs and Assumptions'!$J$3,'Event Dataset'!N407&lt;='Drop Downs and Assumptions'!$K$3),'Drop Downs and Assumptions'!$L$3,IF(AND('Event Dataset'!N407&gt;='Drop Downs and Assumptions'!$J$4,'Event Dataset'!N407&lt;='Drop Downs and Assumptions'!$K$4),'Drop Downs and Assumptions'!$L$4,IF('Event Dataset'!N407&gt;='Drop Downs and Assumptions'!$J$5,'Drop Downs and Assumptions'!$L$5,"")))))</f>
        <v/>
      </c>
      <c r="P407" s="96"/>
      <c r="Q407" s="97"/>
      <c r="R407" s="98"/>
      <c r="S407" s="99"/>
      <c r="T407" s="99"/>
      <c r="U407" s="99"/>
      <c r="V407" s="99"/>
      <c r="W407" s="99"/>
      <c r="X407" s="99"/>
      <c r="Y407" s="99"/>
      <c r="Z407" s="99"/>
      <c r="AA407" s="99"/>
      <c r="AB407" s="99"/>
      <c r="AC407" s="100"/>
      <c r="AD407" s="101" t="str">
        <f t="shared" si="50"/>
        <v/>
      </c>
      <c r="AE407" s="102" t="str">
        <f t="shared" si="51"/>
        <v/>
      </c>
      <c r="AF407" s="103" t="str">
        <f t="shared" si="52"/>
        <v/>
      </c>
      <c r="AG407" s="104" t="str">
        <f t="shared" si="53"/>
        <v/>
      </c>
    </row>
    <row r="408" spans="1:33" x14ac:dyDescent="0.25">
      <c r="A408" s="4">
        <f t="shared" si="54"/>
        <v>405</v>
      </c>
      <c r="B408" s="30" t="str">
        <f t="shared" si="55"/>
        <v/>
      </c>
      <c r="C408" s="67" t="str">
        <f t="shared" si="49"/>
        <v/>
      </c>
      <c r="D408" s="105"/>
      <c r="E408" s="106"/>
      <c r="F408" s="106"/>
      <c r="G408" s="106"/>
      <c r="H408" s="107"/>
      <c r="I408" s="106"/>
      <c r="J408" s="106"/>
      <c r="K408" s="106"/>
      <c r="L408" s="106"/>
      <c r="M408" s="106"/>
      <c r="N408" s="108"/>
      <c r="O408" s="108" t="str">
        <f>IF(N408="","",IF('Event Dataset'!N408&lt;='Drop Downs and Assumptions'!$K$2,'Drop Downs and Assumptions'!$L$2,IF(AND('Event Dataset'!N408&gt;='Drop Downs and Assumptions'!$J$3,'Event Dataset'!N408&lt;='Drop Downs and Assumptions'!$K$3),'Drop Downs and Assumptions'!$L$3,IF(AND('Event Dataset'!N408&gt;='Drop Downs and Assumptions'!$J$4,'Event Dataset'!N408&lt;='Drop Downs and Assumptions'!$K$4),'Drop Downs and Assumptions'!$L$4,IF('Event Dataset'!N408&gt;='Drop Downs and Assumptions'!$J$5,'Drop Downs and Assumptions'!$L$5,"")))))</f>
        <v/>
      </c>
      <c r="P408" s="109"/>
      <c r="Q408" s="97"/>
      <c r="R408" s="110"/>
      <c r="S408" s="111"/>
      <c r="T408" s="111"/>
      <c r="U408" s="111"/>
      <c r="V408" s="111"/>
      <c r="W408" s="111"/>
      <c r="X408" s="111"/>
      <c r="Y408" s="111"/>
      <c r="Z408" s="111"/>
      <c r="AA408" s="111"/>
      <c r="AB408" s="111"/>
      <c r="AC408" s="112"/>
      <c r="AD408" s="113" t="str">
        <f t="shared" si="50"/>
        <v/>
      </c>
      <c r="AE408" s="114" t="str">
        <f t="shared" si="51"/>
        <v/>
      </c>
      <c r="AF408" s="115" t="str">
        <f t="shared" si="52"/>
        <v/>
      </c>
      <c r="AG408" s="116" t="str">
        <f t="shared" si="53"/>
        <v/>
      </c>
    </row>
    <row r="409" spans="1:33" x14ac:dyDescent="0.25">
      <c r="A409" s="16">
        <f t="shared" si="54"/>
        <v>406</v>
      </c>
      <c r="B409" s="31" t="str">
        <f t="shared" si="55"/>
        <v/>
      </c>
      <c r="C409" s="66" t="str">
        <f t="shared" si="49"/>
        <v/>
      </c>
      <c r="D409" s="92"/>
      <c r="E409" s="93"/>
      <c r="F409" s="93"/>
      <c r="G409" s="93"/>
      <c r="H409" s="94"/>
      <c r="I409" s="93"/>
      <c r="J409" s="93"/>
      <c r="K409" s="93"/>
      <c r="L409" s="93"/>
      <c r="M409" s="93"/>
      <c r="N409" s="95"/>
      <c r="O409" s="95" t="str">
        <f>IF(N409="","",IF('Event Dataset'!N409&lt;='Drop Downs and Assumptions'!$K$2,'Drop Downs and Assumptions'!$L$2,IF(AND('Event Dataset'!N409&gt;='Drop Downs and Assumptions'!$J$3,'Event Dataset'!N409&lt;='Drop Downs and Assumptions'!$K$3),'Drop Downs and Assumptions'!$L$3,IF(AND('Event Dataset'!N409&gt;='Drop Downs and Assumptions'!$J$4,'Event Dataset'!N409&lt;='Drop Downs and Assumptions'!$K$4),'Drop Downs and Assumptions'!$L$4,IF('Event Dataset'!N409&gt;='Drop Downs and Assumptions'!$J$5,'Drop Downs and Assumptions'!$L$5,"")))))</f>
        <v/>
      </c>
      <c r="P409" s="96"/>
      <c r="Q409" s="97"/>
      <c r="R409" s="98"/>
      <c r="S409" s="99"/>
      <c r="T409" s="99"/>
      <c r="U409" s="99"/>
      <c r="V409" s="99"/>
      <c r="W409" s="99"/>
      <c r="X409" s="99"/>
      <c r="Y409" s="99"/>
      <c r="Z409" s="99"/>
      <c r="AA409" s="99"/>
      <c r="AB409" s="99"/>
      <c r="AC409" s="100"/>
      <c r="AD409" s="101" t="str">
        <f t="shared" si="50"/>
        <v/>
      </c>
      <c r="AE409" s="102" t="str">
        <f t="shared" si="51"/>
        <v/>
      </c>
      <c r="AF409" s="103" t="str">
        <f t="shared" si="52"/>
        <v/>
      </c>
      <c r="AG409" s="104" t="str">
        <f t="shared" si="53"/>
        <v/>
      </c>
    </row>
    <row r="410" spans="1:33" x14ac:dyDescent="0.25">
      <c r="A410" s="4">
        <f t="shared" si="54"/>
        <v>407</v>
      </c>
      <c r="B410" s="30" t="str">
        <f t="shared" si="55"/>
        <v/>
      </c>
      <c r="C410" s="67" t="str">
        <f t="shared" si="49"/>
        <v/>
      </c>
      <c r="D410" s="105"/>
      <c r="E410" s="106"/>
      <c r="F410" s="106"/>
      <c r="G410" s="106"/>
      <c r="H410" s="107"/>
      <c r="I410" s="106"/>
      <c r="J410" s="106"/>
      <c r="K410" s="106"/>
      <c r="L410" s="106"/>
      <c r="M410" s="106"/>
      <c r="N410" s="108"/>
      <c r="O410" s="108" t="str">
        <f>IF(N410="","",IF('Event Dataset'!N410&lt;='Drop Downs and Assumptions'!$K$2,'Drop Downs and Assumptions'!$L$2,IF(AND('Event Dataset'!N410&gt;='Drop Downs and Assumptions'!$J$3,'Event Dataset'!N410&lt;='Drop Downs and Assumptions'!$K$3),'Drop Downs and Assumptions'!$L$3,IF(AND('Event Dataset'!N410&gt;='Drop Downs and Assumptions'!$J$4,'Event Dataset'!N410&lt;='Drop Downs and Assumptions'!$K$4),'Drop Downs and Assumptions'!$L$4,IF('Event Dataset'!N410&gt;='Drop Downs and Assumptions'!$J$5,'Drop Downs and Assumptions'!$L$5,"")))))</f>
        <v/>
      </c>
      <c r="P410" s="109"/>
      <c r="Q410" s="97"/>
      <c r="R410" s="110"/>
      <c r="S410" s="111"/>
      <c r="T410" s="111"/>
      <c r="U410" s="111"/>
      <c r="V410" s="111"/>
      <c r="W410" s="111"/>
      <c r="X410" s="111"/>
      <c r="Y410" s="111"/>
      <c r="Z410" s="111"/>
      <c r="AA410" s="111"/>
      <c r="AB410" s="111"/>
      <c r="AC410" s="112"/>
      <c r="AD410" s="113" t="str">
        <f t="shared" si="50"/>
        <v/>
      </c>
      <c r="AE410" s="114" t="str">
        <f t="shared" si="51"/>
        <v/>
      </c>
      <c r="AF410" s="115" t="str">
        <f t="shared" si="52"/>
        <v/>
      </c>
      <c r="AG410" s="116" t="str">
        <f t="shared" si="53"/>
        <v/>
      </c>
    </row>
    <row r="411" spans="1:33" x14ac:dyDescent="0.25">
      <c r="A411" s="16">
        <f t="shared" si="54"/>
        <v>408</v>
      </c>
      <c r="B411" s="31" t="str">
        <f t="shared" si="55"/>
        <v/>
      </c>
      <c r="C411" s="66" t="str">
        <f t="shared" si="49"/>
        <v/>
      </c>
      <c r="D411" s="92"/>
      <c r="E411" s="93"/>
      <c r="F411" s="93"/>
      <c r="G411" s="93"/>
      <c r="H411" s="94"/>
      <c r="I411" s="93"/>
      <c r="J411" s="93"/>
      <c r="K411" s="93"/>
      <c r="L411" s="93"/>
      <c r="M411" s="93"/>
      <c r="N411" s="95"/>
      <c r="O411" s="95" t="str">
        <f>IF(N411="","",IF('Event Dataset'!N411&lt;='Drop Downs and Assumptions'!$K$2,'Drop Downs and Assumptions'!$L$2,IF(AND('Event Dataset'!N411&gt;='Drop Downs and Assumptions'!$J$3,'Event Dataset'!N411&lt;='Drop Downs and Assumptions'!$K$3),'Drop Downs and Assumptions'!$L$3,IF(AND('Event Dataset'!N411&gt;='Drop Downs and Assumptions'!$J$4,'Event Dataset'!N411&lt;='Drop Downs and Assumptions'!$K$4),'Drop Downs and Assumptions'!$L$4,IF('Event Dataset'!N411&gt;='Drop Downs and Assumptions'!$J$5,'Drop Downs and Assumptions'!$L$5,"")))))</f>
        <v/>
      </c>
      <c r="P411" s="96"/>
      <c r="Q411" s="97"/>
      <c r="R411" s="98"/>
      <c r="S411" s="99"/>
      <c r="T411" s="99"/>
      <c r="U411" s="99"/>
      <c r="V411" s="99"/>
      <c r="W411" s="99"/>
      <c r="X411" s="99"/>
      <c r="Y411" s="99"/>
      <c r="Z411" s="99"/>
      <c r="AA411" s="99"/>
      <c r="AB411" s="99"/>
      <c r="AC411" s="100"/>
      <c r="AD411" s="101" t="str">
        <f t="shared" si="50"/>
        <v/>
      </c>
      <c r="AE411" s="102" t="str">
        <f t="shared" si="51"/>
        <v/>
      </c>
      <c r="AF411" s="103" t="str">
        <f t="shared" si="52"/>
        <v/>
      </c>
      <c r="AG411" s="104" t="str">
        <f t="shared" si="53"/>
        <v/>
      </c>
    </row>
    <row r="412" spans="1:33" x14ac:dyDescent="0.25">
      <c r="A412" s="4">
        <f t="shared" si="54"/>
        <v>409</v>
      </c>
      <c r="B412" s="30" t="str">
        <f t="shared" si="55"/>
        <v/>
      </c>
      <c r="C412" s="67" t="str">
        <f t="shared" si="49"/>
        <v/>
      </c>
      <c r="D412" s="105"/>
      <c r="E412" s="106"/>
      <c r="F412" s="106"/>
      <c r="G412" s="106"/>
      <c r="H412" s="107"/>
      <c r="I412" s="106"/>
      <c r="J412" s="106"/>
      <c r="K412" s="106"/>
      <c r="L412" s="106"/>
      <c r="M412" s="106"/>
      <c r="N412" s="108"/>
      <c r="O412" s="108" t="str">
        <f>IF(N412="","",IF('Event Dataset'!N412&lt;='Drop Downs and Assumptions'!$K$2,'Drop Downs and Assumptions'!$L$2,IF(AND('Event Dataset'!N412&gt;='Drop Downs and Assumptions'!$J$3,'Event Dataset'!N412&lt;='Drop Downs and Assumptions'!$K$3),'Drop Downs and Assumptions'!$L$3,IF(AND('Event Dataset'!N412&gt;='Drop Downs and Assumptions'!$J$4,'Event Dataset'!N412&lt;='Drop Downs and Assumptions'!$K$4),'Drop Downs and Assumptions'!$L$4,IF('Event Dataset'!N412&gt;='Drop Downs and Assumptions'!$J$5,'Drop Downs and Assumptions'!$L$5,"")))))</f>
        <v/>
      </c>
      <c r="P412" s="109"/>
      <c r="Q412" s="97"/>
      <c r="R412" s="110"/>
      <c r="S412" s="111"/>
      <c r="T412" s="111"/>
      <c r="U412" s="111"/>
      <c r="V412" s="111"/>
      <c r="W412" s="111"/>
      <c r="X412" s="111"/>
      <c r="Y412" s="111"/>
      <c r="Z412" s="111"/>
      <c r="AA412" s="111"/>
      <c r="AB412" s="111"/>
      <c r="AC412" s="112"/>
      <c r="AD412" s="113" t="str">
        <f t="shared" si="50"/>
        <v/>
      </c>
      <c r="AE412" s="114" t="str">
        <f t="shared" si="51"/>
        <v/>
      </c>
      <c r="AF412" s="115" t="str">
        <f t="shared" si="52"/>
        <v/>
      </c>
      <c r="AG412" s="116" t="str">
        <f t="shared" si="53"/>
        <v/>
      </c>
    </row>
    <row r="413" spans="1:33" x14ac:dyDescent="0.25">
      <c r="A413" s="16">
        <f t="shared" si="54"/>
        <v>410</v>
      </c>
      <c r="B413" s="31" t="str">
        <f t="shared" si="55"/>
        <v/>
      </c>
      <c r="C413" s="66" t="str">
        <f t="shared" si="49"/>
        <v/>
      </c>
      <c r="D413" s="92"/>
      <c r="E413" s="93"/>
      <c r="F413" s="93"/>
      <c r="G413" s="93"/>
      <c r="H413" s="94"/>
      <c r="I413" s="93"/>
      <c r="J413" s="93"/>
      <c r="K413" s="93"/>
      <c r="L413" s="93"/>
      <c r="M413" s="93"/>
      <c r="N413" s="95"/>
      <c r="O413" s="95" t="str">
        <f>IF(N413="","",IF('Event Dataset'!N413&lt;='Drop Downs and Assumptions'!$K$2,'Drop Downs and Assumptions'!$L$2,IF(AND('Event Dataset'!N413&gt;='Drop Downs and Assumptions'!$J$3,'Event Dataset'!N413&lt;='Drop Downs and Assumptions'!$K$3),'Drop Downs and Assumptions'!$L$3,IF(AND('Event Dataset'!N413&gt;='Drop Downs and Assumptions'!$J$4,'Event Dataset'!N413&lt;='Drop Downs and Assumptions'!$K$4),'Drop Downs and Assumptions'!$L$4,IF('Event Dataset'!N413&gt;='Drop Downs and Assumptions'!$J$5,'Drop Downs and Assumptions'!$L$5,"")))))</f>
        <v/>
      </c>
      <c r="P413" s="96"/>
      <c r="Q413" s="97"/>
      <c r="R413" s="98"/>
      <c r="S413" s="99"/>
      <c r="T413" s="99"/>
      <c r="U413" s="99"/>
      <c r="V413" s="99"/>
      <c r="W413" s="99"/>
      <c r="X413" s="99"/>
      <c r="Y413" s="99"/>
      <c r="Z413" s="99"/>
      <c r="AA413" s="99"/>
      <c r="AB413" s="99"/>
      <c r="AC413" s="100"/>
      <c r="AD413" s="101" t="str">
        <f t="shared" si="50"/>
        <v/>
      </c>
      <c r="AE413" s="102" t="str">
        <f t="shared" si="51"/>
        <v/>
      </c>
      <c r="AF413" s="103" t="str">
        <f t="shared" si="52"/>
        <v/>
      </c>
      <c r="AG413" s="104" t="str">
        <f t="shared" si="53"/>
        <v/>
      </c>
    </row>
    <row r="414" spans="1:33" x14ac:dyDescent="0.25">
      <c r="A414" s="4">
        <f t="shared" si="54"/>
        <v>411</v>
      </c>
      <c r="B414" s="30" t="str">
        <f t="shared" si="55"/>
        <v/>
      </c>
      <c r="C414" s="67" t="str">
        <f t="shared" si="49"/>
        <v/>
      </c>
      <c r="D414" s="105"/>
      <c r="E414" s="106"/>
      <c r="F414" s="106"/>
      <c r="G414" s="106"/>
      <c r="H414" s="107"/>
      <c r="I414" s="106"/>
      <c r="J414" s="106"/>
      <c r="K414" s="106"/>
      <c r="L414" s="106"/>
      <c r="M414" s="106"/>
      <c r="N414" s="108"/>
      <c r="O414" s="108" t="str">
        <f>IF(N414="","",IF('Event Dataset'!N414&lt;='Drop Downs and Assumptions'!$K$2,'Drop Downs and Assumptions'!$L$2,IF(AND('Event Dataset'!N414&gt;='Drop Downs and Assumptions'!$J$3,'Event Dataset'!N414&lt;='Drop Downs and Assumptions'!$K$3),'Drop Downs and Assumptions'!$L$3,IF(AND('Event Dataset'!N414&gt;='Drop Downs and Assumptions'!$J$4,'Event Dataset'!N414&lt;='Drop Downs and Assumptions'!$K$4),'Drop Downs and Assumptions'!$L$4,IF('Event Dataset'!N414&gt;='Drop Downs and Assumptions'!$J$5,'Drop Downs and Assumptions'!$L$5,"")))))</f>
        <v/>
      </c>
      <c r="P414" s="109"/>
      <c r="Q414" s="97"/>
      <c r="R414" s="110"/>
      <c r="S414" s="111"/>
      <c r="T414" s="111"/>
      <c r="U414" s="111"/>
      <c r="V414" s="111"/>
      <c r="W414" s="111"/>
      <c r="X414" s="111"/>
      <c r="Y414" s="111"/>
      <c r="Z414" s="111"/>
      <c r="AA414" s="111"/>
      <c r="AB414" s="111"/>
      <c r="AC414" s="112"/>
      <c r="AD414" s="113" t="str">
        <f t="shared" si="50"/>
        <v/>
      </c>
      <c r="AE414" s="114" t="str">
        <f t="shared" si="51"/>
        <v/>
      </c>
      <c r="AF414" s="115" t="str">
        <f t="shared" si="52"/>
        <v/>
      </c>
      <c r="AG414" s="116" t="str">
        <f t="shared" si="53"/>
        <v/>
      </c>
    </row>
    <row r="415" spans="1:33" x14ac:dyDescent="0.25">
      <c r="A415" s="16">
        <f t="shared" si="54"/>
        <v>412</v>
      </c>
      <c r="B415" s="31" t="str">
        <f t="shared" si="55"/>
        <v/>
      </c>
      <c r="C415" s="66" t="str">
        <f t="shared" si="49"/>
        <v/>
      </c>
      <c r="D415" s="92"/>
      <c r="E415" s="93"/>
      <c r="F415" s="93"/>
      <c r="G415" s="93"/>
      <c r="H415" s="94"/>
      <c r="I415" s="93"/>
      <c r="J415" s="93"/>
      <c r="K415" s="93"/>
      <c r="L415" s="93"/>
      <c r="M415" s="93"/>
      <c r="N415" s="95"/>
      <c r="O415" s="95" t="str">
        <f>IF(N415="","",IF('Event Dataset'!N415&lt;='Drop Downs and Assumptions'!$K$2,'Drop Downs and Assumptions'!$L$2,IF(AND('Event Dataset'!N415&gt;='Drop Downs and Assumptions'!$J$3,'Event Dataset'!N415&lt;='Drop Downs and Assumptions'!$K$3),'Drop Downs and Assumptions'!$L$3,IF(AND('Event Dataset'!N415&gt;='Drop Downs and Assumptions'!$J$4,'Event Dataset'!N415&lt;='Drop Downs and Assumptions'!$K$4),'Drop Downs and Assumptions'!$L$4,IF('Event Dataset'!N415&gt;='Drop Downs and Assumptions'!$J$5,'Drop Downs and Assumptions'!$L$5,"")))))</f>
        <v/>
      </c>
      <c r="P415" s="96"/>
      <c r="Q415" s="97"/>
      <c r="R415" s="98"/>
      <c r="S415" s="99"/>
      <c r="T415" s="99"/>
      <c r="U415" s="99"/>
      <c r="V415" s="99"/>
      <c r="W415" s="99"/>
      <c r="X415" s="99"/>
      <c r="Y415" s="99"/>
      <c r="Z415" s="99"/>
      <c r="AA415" s="99"/>
      <c r="AB415" s="99"/>
      <c r="AC415" s="100"/>
      <c r="AD415" s="101" t="str">
        <f t="shared" si="50"/>
        <v/>
      </c>
      <c r="AE415" s="102" t="str">
        <f t="shared" si="51"/>
        <v/>
      </c>
      <c r="AF415" s="103" t="str">
        <f t="shared" si="52"/>
        <v/>
      </c>
      <c r="AG415" s="104" t="str">
        <f t="shared" si="53"/>
        <v/>
      </c>
    </row>
    <row r="416" spans="1:33" x14ac:dyDescent="0.25">
      <c r="A416" s="4">
        <f t="shared" si="54"/>
        <v>413</v>
      </c>
      <c r="B416" s="30" t="str">
        <f t="shared" si="55"/>
        <v/>
      </c>
      <c r="C416" s="67" t="str">
        <f t="shared" si="49"/>
        <v/>
      </c>
      <c r="D416" s="105"/>
      <c r="E416" s="106"/>
      <c r="F416" s="106"/>
      <c r="G416" s="106"/>
      <c r="H416" s="107"/>
      <c r="I416" s="106"/>
      <c r="J416" s="106"/>
      <c r="K416" s="106"/>
      <c r="L416" s="106"/>
      <c r="M416" s="106"/>
      <c r="N416" s="108"/>
      <c r="O416" s="108" t="str">
        <f>IF(N416="","",IF('Event Dataset'!N416&lt;='Drop Downs and Assumptions'!$K$2,'Drop Downs and Assumptions'!$L$2,IF(AND('Event Dataset'!N416&gt;='Drop Downs and Assumptions'!$J$3,'Event Dataset'!N416&lt;='Drop Downs and Assumptions'!$K$3),'Drop Downs and Assumptions'!$L$3,IF(AND('Event Dataset'!N416&gt;='Drop Downs and Assumptions'!$J$4,'Event Dataset'!N416&lt;='Drop Downs and Assumptions'!$K$4),'Drop Downs and Assumptions'!$L$4,IF('Event Dataset'!N416&gt;='Drop Downs and Assumptions'!$J$5,'Drop Downs and Assumptions'!$L$5,"")))))</f>
        <v/>
      </c>
      <c r="P416" s="109"/>
      <c r="Q416" s="97"/>
      <c r="R416" s="110"/>
      <c r="S416" s="111"/>
      <c r="T416" s="111"/>
      <c r="U416" s="111"/>
      <c r="V416" s="111"/>
      <c r="W416" s="111"/>
      <c r="X416" s="111"/>
      <c r="Y416" s="111"/>
      <c r="Z416" s="111"/>
      <c r="AA416" s="111"/>
      <c r="AB416" s="111"/>
      <c r="AC416" s="112"/>
      <c r="AD416" s="113" t="str">
        <f t="shared" si="50"/>
        <v/>
      </c>
      <c r="AE416" s="114" t="str">
        <f t="shared" si="51"/>
        <v/>
      </c>
      <c r="AF416" s="115" t="str">
        <f t="shared" si="52"/>
        <v/>
      </c>
      <c r="AG416" s="116" t="str">
        <f t="shared" si="53"/>
        <v/>
      </c>
    </row>
    <row r="417" spans="1:33" x14ac:dyDescent="0.25">
      <c r="A417" s="16">
        <f t="shared" si="54"/>
        <v>414</v>
      </c>
      <c r="B417" s="31" t="str">
        <f t="shared" si="55"/>
        <v/>
      </c>
      <c r="C417" s="66" t="str">
        <f t="shared" si="49"/>
        <v/>
      </c>
      <c r="D417" s="92"/>
      <c r="E417" s="93"/>
      <c r="F417" s="93"/>
      <c r="G417" s="93"/>
      <c r="H417" s="94"/>
      <c r="I417" s="93"/>
      <c r="J417" s="93"/>
      <c r="K417" s="93"/>
      <c r="L417" s="93"/>
      <c r="M417" s="93"/>
      <c r="N417" s="95"/>
      <c r="O417" s="95" t="str">
        <f>IF(N417="","",IF('Event Dataset'!N417&lt;='Drop Downs and Assumptions'!$K$2,'Drop Downs and Assumptions'!$L$2,IF(AND('Event Dataset'!N417&gt;='Drop Downs and Assumptions'!$J$3,'Event Dataset'!N417&lt;='Drop Downs and Assumptions'!$K$3),'Drop Downs and Assumptions'!$L$3,IF(AND('Event Dataset'!N417&gt;='Drop Downs and Assumptions'!$J$4,'Event Dataset'!N417&lt;='Drop Downs and Assumptions'!$K$4),'Drop Downs and Assumptions'!$L$4,IF('Event Dataset'!N417&gt;='Drop Downs and Assumptions'!$J$5,'Drop Downs and Assumptions'!$L$5,"")))))</f>
        <v/>
      </c>
      <c r="P417" s="96"/>
      <c r="Q417" s="97"/>
      <c r="R417" s="98"/>
      <c r="S417" s="99"/>
      <c r="T417" s="99"/>
      <c r="U417" s="99"/>
      <c r="V417" s="99"/>
      <c r="W417" s="99"/>
      <c r="X417" s="99"/>
      <c r="Y417" s="99"/>
      <c r="Z417" s="99"/>
      <c r="AA417" s="99"/>
      <c r="AB417" s="99"/>
      <c r="AC417" s="100"/>
      <c r="AD417" s="101" t="str">
        <f t="shared" si="50"/>
        <v/>
      </c>
      <c r="AE417" s="102" t="str">
        <f t="shared" si="51"/>
        <v/>
      </c>
      <c r="AF417" s="103" t="str">
        <f t="shared" si="52"/>
        <v/>
      </c>
      <c r="AG417" s="104" t="str">
        <f t="shared" si="53"/>
        <v/>
      </c>
    </row>
    <row r="418" spans="1:33" x14ac:dyDescent="0.25">
      <c r="A418" s="4">
        <f t="shared" si="54"/>
        <v>415</v>
      </c>
      <c r="B418" s="30" t="str">
        <f t="shared" si="55"/>
        <v/>
      </c>
      <c r="C418" s="67" t="str">
        <f t="shared" si="49"/>
        <v/>
      </c>
      <c r="D418" s="105"/>
      <c r="E418" s="106"/>
      <c r="F418" s="106"/>
      <c r="G418" s="106"/>
      <c r="H418" s="107"/>
      <c r="I418" s="106"/>
      <c r="J418" s="106"/>
      <c r="K418" s="106"/>
      <c r="L418" s="106"/>
      <c r="M418" s="106"/>
      <c r="N418" s="108"/>
      <c r="O418" s="108" t="str">
        <f>IF(N418="","",IF('Event Dataset'!N418&lt;='Drop Downs and Assumptions'!$K$2,'Drop Downs and Assumptions'!$L$2,IF(AND('Event Dataset'!N418&gt;='Drop Downs and Assumptions'!$J$3,'Event Dataset'!N418&lt;='Drop Downs and Assumptions'!$K$3),'Drop Downs and Assumptions'!$L$3,IF(AND('Event Dataset'!N418&gt;='Drop Downs and Assumptions'!$J$4,'Event Dataset'!N418&lt;='Drop Downs and Assumptions'!$K$4),'Drop Downs and Assumptions'!$L$4,IF('Event Dataset'!N418&gt;='Drop Downs and Assumptions'!$J$5,'Drop Downs and Assumptions'!$L$5,"")))))</f>
        <v/>
      </c>
      <c r="P418" s="109"/>
      <c r="Q418" s="97"/>
      <c r="R418" s="110"/>
      <c r="S418" s="111"/>
      <c r="T418" s="111"/>
      <c r="U418" s="111"/>
      <c r="V418" s="111"/>
      <c r="W418" s="111"/>
      <c r="X418" s="111"/>
      <c r="Y418" s="111"/>
      <c r="Z418" s="111"/>
      <c r="AA418" s="111"/>
      <c r="AB418" s="111"/>
      <c r="AC418" s="112"/>
      <c r="AD418" s="113" t="str">
        <f t="shared" si="50"/>
        <v/>
      </c>
      <c r="AE418" s="114" t="str">
        <f t="shared" si="51"/>
        <v/>
      </c>
      <c r="AF418" s="115" t="str">
        <f t="shared" si="52"/>
        <v/>
      </c>
      <c r="AG418" s="116" t="str">
        <f t="shared" si="53"/>
        <v/>
      </c>
    </row>
    <row r="419" spans="1:33" x14ac:dyDescent="0.25">
      <c r="A419" s="16">
        <f t="shared" si="54"/>
        <v>416</v>
      </c>
      <c r="B419" s="31" t="str">
        <f t="shared" si="55"/>
        <v/>
      </c>
      <c r="C419" s="66" t="str">
        <f t="shared" si="49"/>
        <v/>
      </c>
      <c r="D419" s="92"/>
      <c r="E419" s="93"/>
      <c r="F419" s="93"/>
      <c r="G419" s="93"/>
      <c r="H419" s="94"/>
      <c r="I419" s="93"/>
      <c r="J419" s="93"/>
      <c r="K419" s="93"/>
      <c r="L419" s="93"/>
      <c r="M419" s="93"/>
      <c r="N419" s="95"/>
      <c r="O419" s="95" t="str">
        <f>IF(N419="","",IF('Event Dataset'!N419&lt;='Drop Downs and Assumptions'!$K$2,'Drop Downs and Assumptions'!$L$2,IF(AND('Event Dataset'!N419&gt;='Drop Downs and Assumptions'!$J$3,'Event Dataset'!N419&lt;='Drop Downs and Assumptions'!$K$3),'Drop Downs and Assumptions'!$L$3,IF(AND('Event Dataset'!N419&gt;='Drop Downs and Assumptions'!$J$4,'Event Dataset'!N419&lt;='Drop Downs and Assumptions'!$K$4),'Drop Downs and Assumptions'!$L$4,IF('Event Dataset'!N419&gt;='Drop Downs and Assumptions'!$J$5,'Drop Downs and Assumptions'!$L$5,"")))))</f>
        <v/>
      </c>
      <c r="P419" s="96"/>
      <c r="Q419" s="97"/>
      <c r="R419" s="98"/>
      <c r="S419" s="99"/>
      <c r="T419" s="99"/>
      <c r="U419" s="99"/>
      <c r="V419" s="99"/>
      <c r="W419" s="99"/>
      <c r="X419" s="99"/>
      <c r="Y419" s="99"/>
      <c r="Z419" s="99"/>
      <c r="AA419" s="99"/>
      <c r="AB419" s="99"/>
      <c r="AC419" s="100"/>
      <c r="AD419" s="101" t="str">
        <f t="shared" si="50"/>
        <v/>
      </c>
      <c r="AE419" s="102" t="str">
        <f t="shared" si="51"/>
        <v/>
      </c>
      <c r="AF419" s="103" t="str">
        <f t="shared" si="52"/>
        <v/>
      </c>
      <c r="AG419" s="104" t="str">
        <f t="shared" si="53"/>
        <v/>
      </c>
    </row>
    <row r="420" spans="1:33" x14ac:dyDescent="0.25">
      <c r="A420" s="4">
        <f t="shared" si="54"/>
        <v>417</v>
      </c>
      <c r="B420" s="30" t="str">
        <f t="shared" si="55"/>
        <v/>
      </c>
      <c r="C420" s="67" t="str">
        <f t="shared" si="49"/>
        <v/>
      </c>
      <c r="D420" s="105"/>
      <c r="E420" s="106"/>
      <c r="F420" s="106"/>
      <c r="G420" s="106"/>
      <c r="H420" s="107"/>
      <c r="I420" s="106"/>
      <c r="J420" s="106"/>
      <c r="K420" s="106"/>
      <c r="L420" s="106"/>
      <c r="M420" s="106"/>
      <c r="N420" s="108"/>
      <c r="O420" s="108" t="str">
        <f>IF(N420="","",IF('Event Dataset'!N420&lt;='Drop Downs and Assumptions'!$K$2,'Drop Downs and Assumptions'!$L$2,IF(AND('Event Dataset'!N420&gt;='Drop Downs and Assumptions'!$J$3,'Event Dataset'!N420&lt;='Drop Downs and Assumptions'!$K$3),'Drop Downs and Assumptions'!$L$3,IF(AND('Event Dataset'!N420&gt;='Drop Downs and Assumptions'!$J$4,'Event Dataset'!N420&lt;='Drop Downs and Assumptions'!$K$4),'Drop Downs and Assumptions'!$L$4,IF('Event Dataset'!N420&gt;='Drop Downs and Assumptions'!$J$5,'Drop Downs and Assumptions'!$L$5,"")))))</f>
        <v/>
      </c>
      <c r="P420" s="109"/>
      <c r="Q420" s="97"/>
      <c r="R420" s="110"/>
      <c r="S420" s="111"/>
      <c r="T420" s="111"/>
      <c r="U420" s="111"/>
      <c r="V420" s="111"/>
      <c r="W420" s="111"/>
      <c r="X420" s="111"/>
      <c r="Y420" s="111"/>
      <c r="Z420" s="111"/>
      <c r="AA420" s="111"/>
      <c r="AB420" s="111"/>
      <c r="AC420" s="112"/>
      <c r="AD420" s="113" t="str">
        <f t="shared" si="50"/>
        <v/>
      </c>
      <c r="AE420" s="114" t="str">
        <f t="shared" si="51"/>
        <v/>
      </c>
      <c r="AF420" s="115" t="str">
        <f t="shared" si="52"/>
        <v/>
      </c>
      <c r="AG420" s="116" t="str">
        <f t="shared" si="53"/>
        <v/>
      </c>
    </row>
    <row r="421" spans="1:33" x14ac:dyDescent="0.25">
      <c r="A421" s="16">
        <f t="shared" si="54"/>
        <v>418</v>
      </c>
      <c r="B421" s="31" t="str">
        <f t="shared" si="55"/>
        <v/>
      </c>
      <c r="C421" s="66" t="str">
        <f t="shared" si="49"/>
        <v/>
      </c>
      <c r="D421" s="92"/>
      <c r="E421" s="93"/>
      <c r="F421" s="93"/>
      <c r="G421" s="93"/>
      <c r="H421" s="94"/>
      <c r="I421" s="93"/>
      <c r="J421" s="93"/>
      <c r="K421" s="93"/>
      <c r="L421" s="93"/>
      <c r="M421" s="93"/>
      <c r="N421" s="95"/>
      <c r="O421" s="95" t="str">
        <f>IF(N421="","",IF('Event Dataset'!N421&lt;='Drop Downs and Assumptions'!$K$2,'Drop Downs and Assumptions'!$L$2,IF(AND('Event Dataset'!N421&gt;='Drop Downs and Assumptions'!$J$3,'Event Dataset'!N421&lt;='Drop Downs and Assumptions'!$K$3),'Drop Downs and Assumptions'!$L$3,IF(AND('Event Dataset'!N421&gt;='Drop Downs and Assumptions'!$J$4,'Event Dataset'!N421&lt;='Drop Downs and Assumptions'!$K$4),'Drop Downs and Assumptions'!$L$4,IF('Event Dataset'!N421&gt;='Drop Downs and Assumptions'!$J$5,'Drop Downs and Assumptions'!$L$5,"")))))</f>
        <v/>
      </c>
      <c r="P421" s="96"/>
      <c r="Q421" s="97"/>
      <c r="R421" s="98"/>
      <c r="S421" s="99"/>
      <c r="T421" s="99"/>
      <c r="U421" s="99"/>
      <c r="V421" s="99"/>
      <c r="W421" s="99"/>
      <c r="X421" s="99"/>
      <c r="Y421" s="99"/>
      <c r="Z421" s="99"/>
      <c r="AA421" s="99"/>
      <c r="AB421" s="99"/>
      <c r="AC421" s="100"/>
      <c r="AD421" s="101" t="str">
        <f t="shared" si="50"/>
        <v/>
      </c>
      <c r="AE421" s="102" t="str">
        <f t="shared" si="51"/>
        <v/>
      </c>
      <c r="AF421" s="103" t="str">
        <f t="shared" si="52"/>
        <v/>
      </c>
      <c r="AG421" s="104" t="str">
        <f t="shared" si="53"/>
        <v/>
      </c>
    </row>
    <row r="422" spans="1:33" x14ac:dyDescent="0.25">
      <c r="A422" s="4">
        <f t="shared" si="54"/>
        <v>419</v>
      </c>
      <c r="B422" s="30" t="str">
        <f t="shared" si="55"/>
        <v/>
      </c>
      <c r="C422" s="67" t="str">
        <f t="shared" si="49"/>
        <v/>
      </c>
      <c r="D422" s="105"/>
      <c r="E422" s="106"/>
      <c r="F422" s="106"/>
      <c r="G422" s="106"/>
      <c r="H422" s="107"/>
      <c r="I422" s="106"/>
      <c r="J422" s="106"/>
      <c r="K422" s="106"/>
      <c r="L422" s="106"/>
      <c r="M422" s="106"/>
      <c r="N422" s="108"/>
      <c r="O422" s="108" t="str">
        <f>IF(N422="","",IF('Event Dataset'!N422&lt;='Drop Downs and Assumptions'!$K$2,'Drop Downs and Assumptions'!$L$2,IF(AND('Event Dataset'!N422&gt;='Drop Downs and Assumptions'!$J$3,'Event Dataset'!N422&lt;='Drop Downs and Assumptions'!$K$3),'Drop Downs and Assumptions'!$L$3,IF(AND('Event Dataset'!N422&gt;='Drop Downs and Assumptions'!$J$4,'Event Dataset'!N422&lt;='Drop Downs and Assumptions'!$K$4),'Drop Downs and Assumptions'!$L$4,IF('Event Dataset'!N422&gt;='Drop Downs and Assumptions'!$J$5,'Drop Downs and Assumptions'!$L$5,"")))))</f>
        <v/>
      </c>
      <c r="P422" s="109"/>
      <c r="Q422" s="97"/>
      <c r="R422" s="110"/>
      <c r="S422" s="111"/>
      <c r="T422" s="111"/>
      <c r="U422" s="111"/>
      <c r="V422" s="111"/>
      <c r="W422" s="111"/>
      <c r="X422" s="111"/>
      <c r="Y422" s="111"/>
      <c r="Z422" s="111"/>
      <c r="AA422" s="111"/>
      <c r="AB422" s="111"/>
      <c r="AC422" s="112"/>
      <c r="AD422" s="113" t="str">
        <f t="shared" si="50"/>
        <v/>
      </c>
      <c r="AE422" s="114" t="str">
        <f t="shared" si="51"/>
        <v/>
      </c>
      <c r="AF422" s="115" t="str">
        <f t="shared" si="52"/>
        <v/>
      </c>
      <c r="AG422" s="116" t="str">
        <f t="shared" si="53"/>
        <v/>
      </c>
    </row>
    <row r="423" spans="1:33" x14ac:dyDescent="0.25">
      <c r="A423" s="16">
        <f t="shared" si="54"/>
        <v>420</v>
      </c>
      <c r="B423" s="31" t="str">
        <f t="shared" si="55"/>
        <v/>
      </c>
      <c r="C423" s="66" t="str">
        <f t="shared" si="49"/>
        <v/>
      </c>
      <c r="D423" s="92"/>
      <c r="E423" s="93"/>
      <c r="F423" s="93"/>
      <c r="G423" s="93"/>
      <c r="H423" s="94"/>
      <c r="I423" s="93"/>
      <c r="J423" s="93"/>
      <c r="K423" s="93"/>
      <c r="L423" s="93"/>
      <c r="M423" s="93"/>
      <c r="N423" s="95"/>
      <c r="O423" s="95" t="str">
        <f>IF(N423="","",IF('Event Dataset'!N423&lt;='Drop Downs and Assumptions'!$K$2,'Drop Downs and Assumptions'!$L$2,IF(AND('Event Dataset'!N423&gt;='Drop Downs and Assumptions'!$J$3,'Event Dataset'!N423&lt;='Drop Downs and Assumptions'!$K$3),'Drop Downs and Assumptions'!$L$3,IF(AND('Event Dataset'!N423&gt;='Drop Downs and Assumptions'!$J$4,'Event Dataset'!N423&lt;='Drop Downs and Assumptions'!$K$4),'Drop Downs and Assumptions'!$L$4,IF('Event Dataset'!N423&gt;='Drop Downs and Assumptions'!$J$5,'Drop Downs and Assumptions'!$L$5,"")))))</f>
        <v/>
      </c>
      <c r="P423" s="96"/>
      <c r="Q423" s="97"/>
      <c r="R423" s="98"/>
      <c r="S423" s="99"/>
      <c r="T423" s="99"/>
      <c r="U423" s="99"/>
      <c r="V423" s="99"/>
      <c r="W423" s="99"/>
      <c r="X423" s="99"/>
      <c r="Y423" s="99"/>
      <c r="Z423" s="99"/>
      <c r="AA423" s="99"/>
      <c r="AB423" s="99"/>
      <c r="AC423" s="100"/>
      <c r="AD423" s="101" t="str">
        <f t="shared" si="50"/>
        <v/>
      </c>
      <c r="AE423" s="102" t="str">
        <f t="shared" si="51"/>
        <v/>
      </c>
      <c r="AF423" s="103" t="str">
        <f t="shared" si="52"/>
        <v/>
      </c>
      <c r="AG423" s="104" t="str">
        <f t="shared" si="53"/>
        <v/>
      </c>
    </row>
    <row r="424" spans="1:33" x14ac:dyDescent="0.25">
      <c r="A424" s="4">
        <f t="shared" si="54"/>
        <v>421</v>
      </c>
      <c r="B424" s="30" t="str">
        <f t="shared" si="55"/>
        <v/>
      </c>
      <c r="C424" s="67" t="str">
        <f t="shared" si="49"/>
        <v/>
      </c>
      <c r="D424" s="105"/>
      <c r="E424" s="106"/>
      <c r="F424" s="106"/>
      <c r="G424" s="106"/>
      <c r="H424" s="107"/>
      <c r="I424" s="106"/>
      <c r="J424" s="106"/>
      <c r="K424" s="106"/>
      <c r="L424" s="106"/>
      <c r="M424" s="106"/>
      <c r="N424" s="108"/>
      <c r="O424" s="108" t="str">
        <f>IF(N424="","",IF('Event Dataset'!N424&lt;='Drop Downs and Assumptions'!$K$2,'Drop Downs and Assumptions'!$L$2,IF(AND('Event Dataset'!N424&gt;='Drop Downs and Assumptions'!$J$3,'Event Dataset'!N424&lt;='Drop Downs and Assumptions'!$K$3),'Drop Downs and Assumptions'!$L$3,IF(AND('Event Dataset'!N424&gt;='Drop Downs and Assumptions'!$J$4,'Event Dataset'!N424&lt;='Drop Downs and Assumptions'!$K$4),'Drop Downs and Assumptions'!$L$4,IF('Event Dataset'!N424&gt;='Drop Downs and Assumptions'!$J$5,'Drop Downs and Assumptions'!$L$5,"")))))</f>
        <v/>
      </c>
      <c r="P424" s="109"/>
      <c r="Q424" s="97"/>
      <c r="R424" s="110"/>
      <c r="S424" s="111"/>
      <c r="T424" s="111"/>
      <c r="U424" s="111"/>
      <c r="V424" s="111"/>
      <c r="W424" s="111"/>
      <c r="X424" s="111"/>
      <c r="Y424" s="111"/>
      <c r="Z424" s="111"/>
      <c r="AA424" s="111"/>
      <c r="AB424" s="111"/>
      <c r="AC424" s="112"/>
      <c r="AD424" s="113" t="str">
        <f t="shared" si="50"/>
        <v/>
      </c>
      <c r="AE424" s="114" t="str">
        <f t="shared" si="51"/>
        <v/>
      </c>
      <c r="AF424" s="115" t="str">
        <f t="shared" si="52"/>
        <v/>
      </c>
      <c r="AG424" s="116" t="str">
        <f t="shared" si="53"/>
        <v/>
      </c>
    </row>
    <row r="425" spans="1:33" x14ac:dyDescent="0.25">
      <c r="A425" s="16">
        <f t="shared" si="54"/>
        <v>422</v>
      </c>
      <c r="B425" s="31" t="str">
        <f t="shared" si="55"/>
        <v/>
      </c>
      <c r="C425" s="66" t="str">
        <f t="shared" si="49"/>
        <v/>
      </c>
      <c r="D425" s="92"/>
      <c r="E425" s="93"/>
      <c r="F425" s="93"/>
      <c r="G425" s="93"/>
      <c r="H425" s="94"/>
      <c r="I425" s="93"/>
      <c r="J425" s="93"/>
      <c r="K425" s="93"/>
      <c r="L425" s="93"/>
      <c r="M425" s="93"/>
      <c r="N425" s="95"/>
      <c r="O425" s="95" t="str">
        <f>IF(N425="","",IF('Event Dataset'!N425&lt;='Drop Downs and Assumptions'!$K$2,'Drop Downs and Assumptions'!$L$2,IF(AND('Event Dataset'!N425&gt;='Drop Downs and Assumptions'!$J$3,'Event Dataset'!N425&lt;='Drop Downs and Assumptions'!$K$3),'Drop Downs and Assumptions'!$L$3,IF(AND('Event Dataset'!N425&gt;='Drop Downs and Assumptions'!$J$4,'Event Dataset'!N425&lt;='Drop Downs and Assumptions'!$K$4),'Drop Downs and Assumptions'!$L$4,IF('Event Dataset'!N425&gt;='Drop Downs and Assumptions'!$J$5,'Drop Downs and Assumptions'!$L$5,"")))))</f>
        <v/>
      </c>
      <c r="P425" s="96"/>
      <c r="Q425" s="97"/>
      <c r="R425" s="98"/>
      <c r="S425" s="99"/>
      <c r="T425" s="99"/>
      <c r="U425" s="99"/>
      <c r="V425" s="99"/>
      <c r="W425" s="99"/>
      <c r="X425" s="99"/>
      <c r="Y425" s="99"/>
      <c r="Z425" s="99"/>
      <c r="AA425" s="99"/>
      <c r="AB425" s="99"/>
      <c r="AC425" s="100"/>
      <c r="AD425" s="101" t="str">
        <f t="shared" si="50"/>
        <v/>
      </c>
      <c r="AE425" s="102" t="str">
        <f t="shared" si="51"/>
        <v/>
      </c>
      <c r="AF425" s="103" t="str">
        <f t="shared" si="52"/>
        <v/>
      </c>
      <c r="AG425" s="104" t="str">
        <f t="shared" si="53"/>
        <v/>
      </c>
    </row>
    <row r="426" spans="1:33" x14ac:dyDescent="0.25">
      <c r="A426" s="4">
        <f t="shared" si="54"/>
        <v>423</v>
      </c>
      <c r="B426" s="30" t="str">
        <f t="shared" si="55"/>
        <v/>
      </c>
      <c r="C426" s="67" t="str">
        <f t="shared" si="49"/>
        <v/>
      </c>
      <c r="D426" s="105"/>
      <c r="E426" s="106"/>
      <c r="F426" s="106"/>
      <c r="G426" s="106"/>
      <c r="H426" s="107"/>
      <c r="I426" s="106"/>
      <c r="J426" s="106"/>
      <c r="K426" s="106"/>
      <c r="L426" s="106"/>
      <c r="M426" s="106"/>
      <c r="N426" s="108"/>
      <c r="O426" s="108" t="str">
        <f>IF(N426="","",IF('Event Dataset'!N426&lt;='Drop Downs and Assumptions'!$K$2,'Drop Downs and Assumptions'!$L$2,IF(AND('Event Dataset'!N426&gt;='Drop Downs and Assumptions'!$J$3,'Event Dataset'!N426&lt;='Drop Downs and Assumptions'!$K$3),'Drop Downs and Assumptions'!$L$3,IF(AND('Event Dataset'!N426&gt;='Drop Downs and Assumptions'!$J$4,'Event Dataset'!N426&lt;='Drop Downs and Assumptions'!$K$4),'Drop Downs and Assumptions'!$L$4,IF('Event Dataset'!N426&gt;='Drop Downs and Assumptions'!$J$5,'Drop Downs and Assumptions'!$L$5,"")))))</f>
        <v/>
      </c>
      <c r="P426" s="109"/>
      <c r="Q426" s="97"/>
      <c r="R426" s="110"/>
      <c r="S426" s="111"/>
      <c r="T426" s="111"/>
      <c r="U426" s="111"/>
      <c r="V426" s="111"/>
      <c r="W426" s="111"/>
      <c r="X426" s="111"/>
      <c r="Y426" s="111"/>
      <c r="Z426" s="111"/>
      <c r="AA426" s="111"/>
      <c r="AB426" s="111"/>
      <c r="AC426" s="112"/>
      <c r="AD426" s="113" t="str">
        <f t="shared" si="50"/>
        <v/>
      </c>
      <c r="AE426" s="114" t="str">
        <f t="shared" si="51"/>
        <v/>
      </c>
      <c r="AF426" s="115" t="str">
        <f t="shared" si="52"/>
        <v/>
      </c>
      <c r="AG426" s="116" t="str">
        <f t="shared" si="53"/>
        <v/>
      </c>
    </row>
    <row r="427" spans="1:33" x14ac:dyDescent="0.25">
      <c r="A427" s="16">
        <f t="shared" si="54"/>
        <v>424</v>
      </c>
      <c r="B427" s="31" t="str">
        <f t="shared" si="55"/>
        <v/>
      </c>
      <c r="C427" s="66" t="str">
        <f t="shared" si="49"/>
        <v/>
      </c>
      <c r="D427" s="92"/>
      <c r="E427" s="93"/>
      <c r="F427" s="93"/>
      <c r="G427" s="93"/>
      <c r="H427" s="94"/>
      <c r="I427" s="93"/>
      <c r="J427" s="93"/>
      <c r="K427" s="93"/>
      <c r="L427" s="93"/>
      <c r="M427" s="93"/>
      <c r="N427" s="95"/>
      <c r="O427" s="95" t="str">
        <f>IF(N427="","",IF('Event Dataset'!N427&lt;='Drop Downs and Assumptions'!$K$2,'Drop Downs and Assumptions'!$L$2,IF(AND('Event Dataset'!N427&gt;='Drop Downs and Assumptions'!$J$3,'Event Dataset'!N427&lt;='Drop Downs and Assumptions'!$K$3),'Drop Downs and Assumptions'!$L$3,IF(AND('Event Dataset'!N427&gt;='Drop Downs and Assumptions'!$J$4,'Event Dataset'!N427&lt;='Drop Downs and Assumptions'!$K$4),'Drop Downs and Assumptions'!$L$4,IF('Event Dataset'!N427&gt;='Drop Downs and Assumptions'!$J$5,'Drop Downs and Assumptions'!$L$5,"")))))</f>
        <v/>
      </c>
      <c r="P427" s="96"/>
      <c r="Q427" s="97"/>
      <c r="R427" s="98"/>
      <c r="S427" s="99"/>
      <c r="T427" s="99"/>
      <c r="U427" s="99"/>
      <c r="V427" s="99"/>
      <c r="W427" s="99"/>
      <c r="X427" s="99"/>
      <c r="Y427" s="99"/>
      <c r="Z427" s="99"/>
      <c r="AA427" s="99"/>
      <c r="AB427" s="99"/>
      <c r="AC427" s="100"/>
      <c r="AD427" s="101" t="str">
        <f t="shared" si="50"/>
        <v/>
      </c>
      <c r="AE427" s="102" t="str">
        <f t="shared" si="51"/>
        <v/>
      </c>
      <c r="AF427" s="103" t="str">
        <f t="shared" si="52"/>
        <v/>
      </c>
      <c r="AG427" s="104" t="str">
        <f t="shared" si="53"/>
        <v/>
      </c>
    </row>
    <row r="428" spans="1:33" x14ac:dyDescent="0.25">
      <c r="A428" s="4">
        <f t="shared" si="54"/>
        <v>425</v>
      </c>
      <c r="B428" s="30" t="str">
        <f t="shared" si="55"/>
        <v/>
      </c>
      <c r="C428" s="67" t="str">
        <f t="shared" si="49"/>
        <v/>
      </c>
      <c r="D428" s="105"/>
      <c r="E428" s="106"/>
      <c r="F428" s="106"/>
      <c r="G428" s="106"/>
      <c r="H428" s="107"/>
      <c r="I428" s="106"/>
      <c r="J428" s="106"/>
      <c r="K428" s="106"/>
      <c r="L428" s="106"/>
      <c r="M428" s="106"/>
      <c r="N428" s="108"/>
      <c r="O428" s="108" t="str">
        <f>IF(N428="","",IF('Event Dataset'!N428&lt;='Drop Downs and Assumptions'!$K$2,'Drop Downs and Assumptions'!$L$2,IF(AND('Event Dataset'!N428&gt;='Drop Downs and Assumptions'!$J$3,'Event Dataset'!N428&lt;='Drop Downs and Assumptions'!$K$3),'Drop Downs and Assumptions'!$L$3,IF(AND('Event Dataset'!N428&gt;='Drop Downs and Assumptions'!$J$4,'Event Dataset'!N428&lt;='Drop Downs and Assumptions'!$K$4),'Drop Downs and Assumptions'!$L$4,IF('Event Dataset'!N428&gt;='Drop Downs and Assumptions'!$J$5,'Drop Downs and Assumptions'!$L$5,"")))))</f>
        <v/>
      </c>
      <c r="P428" s="109"/>
      <c r="Q428" s="97"/>
      <c r="R428" s="110"/>
      <c r="S428" s="111"/>
      <c r="T428" s="111"/>
      <c r="U428" s="111"/>
      <c r="V428" s="111"/>
      <c r="W428" s="111"/>
      <c r="X428" s="111"/>
      <c r="Y428" s="111"/>
      <c r="Z428" s="111"/>
      <c r="AA428" s="111"/>
      <c r="AB428" s="111"/>
      <c r="AC428" s="112"/>
      <c r="AD428" s="113" t="str">
        <f t="shared" si="50"/>
        <v/>
      </c>
      <c r="AE428" s="114" t="str">
        <f t="shared" si="51"/>
        <v/>
      </c>
      <c r="AF428" s="115" t="str">
        <f t="shared" si="52"/>
        <v/>
      </c>
      <c r="AG428" s="116" t="str">
        <f t="shared" si="53"/>
        <v/>
      </c>
    </row>
    <row r="429" spans="1:33" x14ac:dyDescent="0.25">
      <c r="A429" s="16">
        <f t="shared" si="54"/>
        <v>426</v>
      </c>
      <c r="B429" s="31" t="str">
        <f t="shared" si="55"/>
        <v/>
      </c>
      <c r="C429" s="66" t="str">
        <f t="shared" si="49"/>
        <v/>
      </c>
      <c r="D429" s="92"/>
      <c r="E429" s="93"/>
      <c r="F429" s="93"/>
      <c r="G429" s="93"/>
      <c r="H429" s="94"/>
      <c r="I429" s="93"/>
      <c r="J429" s="93"/>
      <c r="K429" s="93"/>
      <c r="L429" s="93"/>
      <c r="M429" s="93"/>
      <c r="N429" s="95"/>
      <c r="O429" s="95" t="str">
        <f>IF(N429="","",IF('Event Dataset'!N429&lt;='Drop Downs and Assumptions'!$K$2,'Drop Downs and Assumptions'!$L$2,IF(AND('Event Dataset'!N429&gt;='Drop Downs and Assumptions'!$J$3,'Event Dataset'!N429&lt;='Drop Downs and Assumptions'!$K$3),'Drop Downs and Assumptions'!$L$3,IF(AND('Event Dataset'!N429&gt;='Drop Downs and Assumptions'!$J$4,'Event Dataset'!N429&lt;='Drop Downs and Assumptions'!$K$4),'Drop Downs and Assumptions'!$L$4,IF('Event Dataset'!N429&gt;='Drop Downs and Assumptions'!$J$5,'Drop Downs and Assumptions'!$L$5,"")))))</f>
        <v/>
      </c>
      <c r="P429" s="96"/>
      <c r="Q429" s="97"/>
      <c r="R429" s="98"/>
      <c r="S429" s="99"/>
      <c r="T429" s="99"/>
      <c r="U429" s="99"/>
      <c r="V429" s="99"/>
      <c r="W429" s="99"/>
      <c r="X429" s="99"/>
      <c r="Y429" s="99"/>
      <c r="Z429" s="99"/>
      <c r="AA429" s="99"/>
      <c r="AB429" s="99"/>
      <c r="AC429" s="100"/>
      <c r="AD429" s="101" t="str">
        <f t="shared" si="50"/>
        <v/>
      </c>
      <c r="AE429" s="102" t="str">
        <f t="shared" si="51"/>
        <v/>
      </c>
      <c r="AF429" s="103" t="str">
        <f t="shared" si="52"/>
        <v/>
      </c>
      <c r="AG429" s="104" t="str">
        <f t="shared" si="53"/>
        <v/>
      </c>
    </row>
    <row r="430" spans="1:33" x14ac:dyDescent="0.25">
      <c r="A430" s="4">
        <f t="shared" si="54"/>
        <v>427</v>
      </c>
      <c r="B430" s="30" t="str">
        <f t="shared" si="55"/>
        <v/>
      </c>
      <c r="C430" s="67" t="str">
        <f t="shared" si="49"/>
        <v/>
      </c>
      <c r="D430" s="105"/>
      <c r="E430" s="106"/>
      <c r="F430" s="106"/>
      <c r="G430" s="106"/>
      <c r="H430" s="107"/>
      <c r="I430" s="106"/>
      <c r="J430" s="106"/>
      <c r="K430" s="106"/>
      <c r="L430" s="106"/>
      <c r="M430" s="106"/>
      <c r="N430" s="108"/>
      <c r="O430" s="108" t="str">
        <f>IF(N430="","",IF('Event Dataset'!N430&lt;='Drop Downs and Assumptions'!$K$2,'Drop Downs and Assumptions'!$L$2,IF(AND('Event Dataset'!N430&gt;='Drop Downs and Assumptions'!$J$3,'Event Dataset'!N430&lt;='Drop Downs and Assumptions'!$K$3),'Drop Downs and Assumptions'!$L$3,IF(AND('Event Dataset'!N430&gt;='Drop Downs and Assumptions'!$J$4,'Event Dataset'!N430&lt;='Drop Downs and Assumptions'!$K$4),'Drop Downs and Assumptions'!$L$4,IF('Event Dataset'!N430&gt;='Drop Downs and Assumptions'!$J$5,'Drop Downs and Assumptions'!$L$5,"")))))</f>
        <v/>
      </c>
      <c r="P430" s="109"/>
      <c r="Q430" s="97"/>
      <c r="R430" s="110"/>
      <c r="S430" s="111"/>
      <c r="T430" s="111"/>
      <c r="U430" s="111"/>
      <c r="V430" s="111"/>
      <c r="W430" s="111"/>
      <c r="X430" s="111"/>
      <c r="Y430" s="111"/>
      <c r="Z430" s="111"/>
      <c r="AA430" s="111"/>
      <c r="AB430" s="111"/>
      <c r="AC430" s="112"/>
      <c r="AD430" s="113" t="str">
        <f t="shared" si="50"/>
        <v/>
      </c>
      <c r="AE430" s="114" t="str">
        <f t="shared" si="51"/>
        <v/>
      </c>
      <c r="AF430" s="115" t="str">
        <f t="shared" si="52"/>
        <v/>
      </c>
      <c r="AG430" s="116" t="str">
        <f t="shared" si="53"/>
        <v/>
      </c>
    </row>
    <row r="431" spans="1:33" x14ac:dyDescent="0.25">
      <c r="A431" s="16">
        <f t="shared" si="54"/>
        <v>428</v>
      </c>
      <c r="B431" s="31" t="str">
        <f t="shared" si="55"/>
        <v/>
      </c>
      <c r="C431" s="66" t="str">
        <f t="shared" si="49"/>
        <v/>
      </c>
      <c r="D431" s="92"/>
      <c r="E431" s="93"/>
      <c r="F431" s="93"/>
      <c r="G431" s="93"/>
      <c r="H431" s="94"/>
      <c r="I431" s="93"/>
      <c r="J431" s="93"/>
      <c r="K431" s="93"/>
      <c r="L431" s="93"/>
      <c r="M431" s="93"/>
      <c r="N431" s="95"/>
      <c r="O431" s="95" t="str">
        <f>IF(N431="","",IF('Event Dataset'!N431&lt;='Drop Downs and Assumptions'!$K$2,'Drop Downs and Assumptions'!$L$2,IF(AND('Event Dataset'!N431&gt;='Drop Downs and Assumptions'!$J$3,'Event Dataset'!N431&lt;='Drop Downs and Assumptions'!$K$3),'Drop Downs and Assumptions'!$L$3,IF(AND('Event Dataset'!N431&gt;='Drop Downs and Assumptions'!$J$4,'Event Dataset'!N431&lt;='Drop Downs and Assumptions'!$K$4),'Drop Downs and Assumptions'!$L$4,IF('Event Dataset'!N431&gt;='Drop Downs and Assumptions'!$J$5,'Drop Downs and Assumptions'!$L$5,"")))))</f>
        <v/>
      </c>
      <c r="P431" s="96"/>
      <c r="Q431" s="97"/>
      <c r="R431" s="98"/>
      <c r="S431" s="99"/>
      <c r="T431" s="99"/>
      <c r="U431" s="99"/>
      <c r="V431" s="99"/>
      <c r="W431" s="99"/>
      <c r="X431" s="99"/>
      <c r="Y431" s="99"/>
      <c r="Z431" s="99"/>
      <c r="AA431" s="99"/>
      <c r="AB431" s="99"/>
      <c r="AC431" s="100"/>
      <c r="AD431" s="101" t="str">
        <f t="shared" si="50"/>
        <v/>
      </c>
      <c r="AE431" s="102" t="str">
        <f t="shared" si="51"/>
        <v/>
      </c>
      <c r="AF431" s="103" t="str">
        <f t="shared" si="52"/>
        <v/>
      </c>
      <c r="AG431" s="104" t="str">
        <f t="shared" si="53"/>
        <v/>
      </c>
    </row>
    <row r="432" spans="1:33" x14ac:dyDescent="0.25">
      <c r="A432" s="4">
        <f t="shared" si="54"/>
        <v>429</v>
      </c>
      <c r="B432" s="30" t="str">
        <f t="shared" si="55"/>
        <v/>
      </c>
      <c r="C432" s="67" t="str">
        <f t="shared" ref="C432:C470" si="56">IFERROR(RANK(AG432,$AG$4:$AG$470,1),"")</f>
        <v/>
      </c>
      <c r="D432" s="105"/>
      <c r="E432" s="106"/>
      <c r="F432" s="106"/>
      <c r="G432" s="106"/>
      <c r="H432" s="107"/>
      <c r="I432" s="106"/>
      <c r="J432" s="106"/>
      <c r="K432" s="106"/>
      <c r="L432" s="106"/>
      <c r="M432" s="106"/>
      <c r="N432" s="108"/>
      <c r="O432" s="108" t="str">
        <f>IF(N432="","",IF('Event Dataset'!N432&lt;='Drop Downs and Assumptions'!$K$2,'Drop Downs and Assumptions'!$L$2,IF(AND('Event Dataset'!N432&gt;='Drop Downs and Assumptions'!$J$3,'Event Dataset'!N432&lt;='Drop Downs and Assumptions'!$K$3),'Drop Downs and Assumptions'!$L$3,IF(AND('Event Dataset'!N432&gt;='Drop Downs and Assumptions'!$J$4,'Event Dataset'!N432&lt;='Drop Downs and Assumptions'!$K$4),'Drop Downs and Assumptions'!$L$4,IF('Event Dataset'!N432&gt;='Drop Downs and Assumptions'!$J$5,'Drop Downs and Assumptions'!$L$5,"")))))</f>
        <v/>
      </c>
      <c r="P432" s="109"/>
      <c r="Q432" s="97"/>
      <c r="R432" s="110"/>
      <c r="S432" s="111"/>
      <c r="T432" s="111"/>
      <c r="U432" s="111"/>
      <c r="V432" s="111"/>
      <c r="W432" s="111"/>
      <c r="X432" s="111"/>
      <c r="Y432" s="111"/>
      <c r="Z432" s="111"/>
      <c r="AA432" s="111"/>
      <c r="AB432" s="111"/>
      <c r="AC432" s="112"/>
      <c r="AD432" s="113" t="str">
        <f t="shared" ref="AD432:AD470" si="57">IF(SUM(R432:AC432)=0,"",SUM(R432:AC432))</f>
        <v/>
      </c>
      <c r="AE432" s="114" t="str">
        <f t="shared" ref="AE432:AE470" si="58">IFERROR((SUMIF($R$3:$AC$3,"Recycling",$R432:$AC432)+SUMIF($R$3:$AC$3,"Reuse",$R432:$AC432)+SUMIF($R$3:$AC$3,"Alternative Fuels",$R432:$AC432))/AD432,"")</f>
        <v/>
      </c>
      <c r="AF432" s="115" t="str">
        <f t="shared" ref="AF432:AF470" si="59">IFERROR((SUMIF($R$3:$AC$3,"Recycling",$R432:$AC432))/AD432,"")</f>
        <v/>
      </c>
      <c r="AG432" s="116" t="str">
        <f t="shared" si="53"/>
        <v/>
      </c>
    </row>
    <row r="433" spans="1:33" x14ac:dyDescent="0.25">
      <c r="A433" s="16">
        <f t="shared" si="54"/>
        <v>430</v>
      </c>
      <c r="B433" s="31" t="str">
        <f t="shared" si="55"/>
        <v/>
      </c>
      <c r="C433" s="66" t="str">
        <f t="shared" si="56"/>
        <v/>
      </c>
      <c r="D433" s="92"/>
      <c r="E433" s="93"/>
      <c r="F433" s="93"/>
      <c r="G433" s="93"/>
      <c r="H433" s="94"/>
      <c r="I433" s="93"/>
      <c r="J433" s="93"/>
      <c r="K433" s="93"/>
      <c r="L433" s="93"/>
      <c r="M433" s="93"/>
      <c r="N433" s="95"/>
      <c r="O433" s="95" t="str">
        <f>IF(N433="","",IF('Event Dataset'!N433&lt;='Drop Downs and Assumptions'!$K$2,'Drop Downs and Assumptions'!$L$2,IF(AND('Event Dataset'!N433&gt;='Drop Downs and Assumptions'!$J$3,'Event Dataset'!N433&lt;='Drop Downs and Assumptions'!$K$3),'Drop Downs and Assumptions'!$L$3,IF(AND('Event Dataset'!N433&gt;='Drop Downs and Assumptions'!$J$4,'Event Dataset'!N433&lt;='Drop Downs and Assumptions'!$K$4),'Drop Downs and Assumptions'!$L$4,IF('Event Dataset'!N433&gt;='Drop Downs and Assumptions'!$J$5,'Drop Downs and Assumptions'!$L$5,"")))))</f>
        <v/>
      </c>
      <c r="P433" s="96"/>
      <c r="Q433" s="97"/>
      <c r="R433" s="98"/>
      <c r="S433" s="99"/>
      <c r="T433" s="99"/>
      <c r="U433" s="99"/>
      <c r="V433" s="99"/>
      <c r="W433" s="99"/>
      <c r="X433" s="99"/>
      <c r="Y433" s="99"/>
      <c r="Z433" s="99"/>
      <c r="AA433" s="99"/>
      <c r="AB433" s="99"/>
      <c r="AC433" s="100"/>
      <c r="AD433" s="101" t="str">
        <f t="shared" si="57"/>
        <v/>
      </c>
      <c r="AE433" s="102" t="str">
        <f t="shared" si="58"/>
        <v/>
      </c>
      <c r="AF433" s="103" t="str">
        <f t="shared" si="59"/>
        <v/>
      </c>
      <c r="AG433" s="104" t="str">
        <f t="shared" si="53"/>
        <v/>
      </c>
    </row>
    <row r="434" spans="1:33" x14ac:dyDescent="0.25">
      <c r="A434" s="4">
        <f t="shared" si="54"/>
        <v>431</v>
      </c>
      <c r="B434" s="30" t="str">
        <f t="shared" si="55"/>
        <v/>
      </c>
      <c r="C434" s="67" t="str">
        <f t="shared" si="56"/>
        <v/>
      </c>
      <c r="D434" s="105"/>
      <c r="E434" s="106"/>
      <c r="F434" s="106"/>
      <c r="G434" s="106"/>
      <c r="H434" s="107"/>
      <c r="I434" s="106"/>
      <c r="J434" s="106"/>
      <c r="K434" s="106"/>
      <c r="L434" s="106"/>
      <c r="M434" s="106"/>
      <c r="N434" s="108"/>
      <c r="O434" s="108" t="str">
        <f>IF(N434="","",IF('Event Dataset'!N434&lt;='Drop Downs and Assumptions'!$K$2,'Drop Downs and Assumptions'!$L$2,IF(AND('Event Dataset'!N434&gt;='Drop Downs and Assumptions'!$J$3,'Event Dataset'!N434&lt;='Drop Downs and Assumptions'!$K$3),'Drop Downs and Assumptions'!$L$3,IF(AND('Event Dataset'!N434&gt;='Drop Downs and Assumptions'!$J$4,'Event Dataset'!N434&lt;='Drop Downs and Assumptions'!$K$4),'Drop Downs and Assumptions'!$L$4,IF('Event Dataset'!N434&gt;='Drop Downs and Assumptions'!$J$5,'Drop Downs and Assumptions'!$L$5,"")))))</f>
        <v/>
      </c>
      <c r="P434" s="109"/>
      <c r="Q434" s="97"/>
      <c r="R434" s="110"/>
      <c r="S434" s="111"/>
      <c r="T434" s="111"/>
      <c r="U434" s="111"/>
      <c r="V434" s="111"/>
      <c r="W434" s="111"/>
      <c r="X434" s="111"/>
      <c r="Y434" s="111"/>
      <c r="Z434" s="111"/>
      <c r="AA434" s="111"/>
      <c r="AB434" s="111"/>
      <c r="AC434" s="112"/>
      <c r="AD434" s="113" t="str">
        <f t="shared" si="57"/>
        <v/>
      </c>
      <c r="AE434" s="114" t="str">
        <f t="shared" si="58"/>
        <v/>
      </c>
      <c r="AF434" s="115" t="str">
        <f t="shared" si="59"/>
        <v/>
      </c>
      <c r="AG434" s="116" t="str">
        <f t="shared" si="53"/>
        <v/>
      </c>
    </row>
    <row r="435" spans="1:33" x14ac:dyDescent="0.25">
      <c r="A435" s="16">
        <f t="shared" si="54"/>
        <v>432</v>
      </c>
      <c r="B435" s="31" t="str">
        <f t="shared" si="55"/>
        <v/>
      </c>
      <c r="C435" s="66" t="str">
        <f t="shared" si="56"/>
        <v/>
      </c>
      <c r="D435" s="92"/>
      <c r="E435" s="93"/>
      <c r="F435" s="93"/>
      <c r="G435" s="93"/>
      <c r="H435" s="94"/>
      <c r="I435" s="93"/>
      <c r="J435" s="93"/>
      <c r="K435" s="93"/>
      <c r="L435" s="93"/>
      <c r="M435" s="93"/>
      <c r="N435" s="95"/>
      <c r="O435" s="95" t="str">
        <f>IF(N435="","",IF('Event Dataset'!N435&lt;='Drop Downs and Assumptions'!$K$2,'Drop Downs and Assumptions'!$L$2,IF(AND('Event Dataset'!N435&gt;='Drop Downs and Assumptions'!$J$3,'Event Dataset'!N435&lt;='Drop Downs and Assumptions'!$K$3),'Drop Downs and Assumptions'!$L$3,IF(AND('Event Dataset'!N435&gt;='Drop Downs and Assumptions'!$J$4,'Event Dataset'!N435&lt;='Drop Downs and Assumptions'!$K$4),'Drop Downs and Assumptions'!$L$4,IF('Event Dataset'!N435&gt;='Drop Downs and Assumptions'!$J$5,'Drop Downs and Assumptions'!$L$5,"")))))</f>
        <v/>
      </c>
      <c r="P435" s="96"/>
      <c r="Q435" s="97"/>
      <c r="R435" s="98"/>
      <c r="S435" s="99"/>
      <c r="T435" s="99"/>
      <c r="U435" s="99"/>
      <c r="V435" s="99"/>
      <c r="W435" s="99"/>
      <c r="X435" s="99"/>
      <c r="Y435" s="99"/>
      <c r="Z435" s="99"/>
      <c r="AA435" s="99"/>
      <c r="AB435" s="99"/>
      <c r="AC435" s="100"/>
      <c r="AD435" s="101" t="str">
        <f t="shared" si="57"/>
        <v/>
      </c>
      <c r="AE435" s="102" t="str">
        <f t="shared" si="58"/>
        <v/>
      </c>
      <c r="AF435" s="103" t="str">
        <f t="shared" si="59"/>
        <v/>
      </c>
      <c r="AG435" s="104" t="str">
        <f t="shared" si="53"/>
        <v/>
      </c>
    </row>
    <row r="436" spans="1:33" x14ac:dyDescent="0.25">
      <c r="A436" s="4">
        <f t="shared" si="54"/>
        <v>433</v>
      </c>
      <c r="B436" s="30" t="str">
        <f t="shared" si="55"/>
        <v/>
      </c>
      <c r="C436" s="67" t="str">
        <f t="shared" si="56"/>
        <v/>
      </c>
      <c r="D436" s="105"/>
      <c r="E436" s="106"/>
      <c r="F436" s="106"/>
      <c r="G436" s="106"/>
      <c r="H436" s="107"/>
      <c r="I436" s="106"/>
      <c r="J436" s="106"/>
      <c r="K436" s="106"/>
      <c r="L436" s="106"/>
      <c r="M436" s="106"/>
      <c r="N436" s="108"/>
      <c r="O436" s="108" t="str">
        <f>IF(N436="","",IF('Event Dataset'!N436&lt;='Drop Downs and Assumptions'!$K$2,'Drop Downs and Assumptions'!$L$2,IF(AND('Event Dataset'!N436&gt;='Drop Downs and Assumptions'!$J$3,'Event Dataset'!N436&lt;='Drop Downs and Assumptions'!$K$3),'Drop Downs and Assumptions'!$L$3,IF(AND('Event Dataset'!N436&gt;='Drop Downs and Assumptions'!$J$4,'Event Dataset'!N436&lt;='Drop Downs and Assumptions'!$K$4),'Drop Downs and Assumptions'!$L$4,IF('Event Dataset'!N436&gt;='Drop Downs and Assumptions'!$J$5,'Drop Downs and Assumptions'!$L$5,"")))))</f>
        <v/>
      </c>
      <c r="P436" s="109"/>
      <c r="Q436" s="97"/>
      <c r="R436" s="110"/>
      <c r="S436" s="111"/>
      <c r="T436" s="111"/>
      <c r="U436" s="111"/>
      <c r="V436" s="111"/>
      <c r="W436" s="111"/>
      <c r="X436" s="111"/>
      <c r="Y436" s="111"/>
      <c r="Z436" s="111"/>
      <c r="AA436" s="111"/>
      <c r="AB436" s="111"/>
      <c r="AC436" s="112"/>
      <c r="AD436" s="113" t="str">
        <f t="shared" si="57"/>
        <v/>
      </c>
      <c r="AE436" s="114" t="str">
        <f t="shared" si="58"/>
        <v/>
      </c>
      <c r="AF436" s="115" t="str">
        <f t="shared" si="59"/>
        <v/>
      </c>
      <c r="AG436" s="116" t="str">
        <f t="shared" si="53"/>
        <v/>
      </c>
    </row>
    <row r="437" spans="1:33" x14ac:dyDescent="0.25">
      <c r="A437" s="16">
        <f t="shared" si="54"/>
        <v>434</v>
      </c>
      <c r="B437" s="31" t="str">
        <f t="shared" si="55"/>
        <v/>
      </c>
      <c r="C437" s="66" t="str">
        <f t="shared" si="56"/>
        <v/>
      </c>
      <c r="D437" s="92"/>
      <c r="E437" s="93"/>
      <c r="F437" s="93"/>
      <c r="G437" s="93"/>
      <c r="H437" s="94"/>
      <c r="I437" s="93"/>
      <c r="J437" s="93"/>
      <c r="K437" s="93"/>
      <c r="L437" s="93"/>
      <c r="M437" s="93"/>
      <c r="N437" s="95"/>
      <c r="O437" s="95" t="str">
        <f>IF(N437="","",IF('Event Dataset'!N437&lt;='Drop Downs and Assumptions'!$K$2,'Drop Downs and Assumptions'!$L$2,IF(AND('Event Dataset'!N437&gt;='Drop Downs and Assumptions'!$J$3,'Event Dataset'!N437&lt;='Drop Downs and Assumptions'!$K$3),'Drop Downs and Assumptions'!$L$3,IF(AND('Event Dataset'!N437&gt;='Drop Downs and Assumptions'!$J$4,'Event Dataset'!N437&lt;='Drop Downs and Assumptions'!$K$4),'Drop Downs and Assumptions'!$L$4,IF('Event Dataset'!N437&gt;='Drop Downs and Assumptions'!$J$5,'Drop Downs and Assumptions'!$L$5,"")))))</f>
        <v/>
      </c>
      <c r="P437" s="96"/>
      <c r="Q437" s="97"/>
      <c r="R437" s="98"/>
      <c r="S437" s="99"/>
      <c r="T437" s="99"/>
      <c r="U437" s="99"/>
      <c r="V437" s="99"/>
      <c r="W437" s="99"/>
      <c r="X437" s="99"/>
      <c r="Y437" s="99"/>
      <c r="Z437" s="99"/>
      <c r="AA437" s="99"/>
      <c r="AB437" s="99"/>
      <c r="AC437" s="100"/>
      <c r="AD437" s="101" t="str">
        <f t="shared" si="57"/>
        <v/>
      </c>
      <c r="AE437" s="102" t="str">
        <f t="shared" si="58"/>
        <v/>
      </c>
      <c r="AF437" s="103" t="str">
        <f t="shared" si="59"/>
        <v/>
      </c>
      <c r="AG437" s="104" t="str">
        <f t="shared" si="53"/>
        <v/>
      </c>
    </row>
    <row r="438" spans="1:33" x14ac:dyDescent="0.25">
      <c r="A438" s="4">
        <f t="shared" si="54"/>
        <v>435</v>
      </c>
      <c r="B438" s="30" t="str">
        <f t="shared" si="55"/>
        <v/>
      </c>
      <c r="C438" s="67" t="str">
        <f t="shared" si="56"/>
        <v/>
      </c>
      <c r="D438" s="105"/>
      <c r="E438" s="106"/>
      <c r="F438" s="106"/>
      <c r="G438" s="106"/>
      <c r="H438" s="107"/>
      <c r="I438" s="106"/>
      <c r="J438" s="106"/>
      <c r="K438" s="106"/>
      <c r="L438" s="106"/>
      <c r="M438" s="106"/>
      <c r="N438" s="108"/>
      <c r="O438" s="108" t="str">
        <f>IF(N438="","",IF('Event Dataset'!N438&lt;='Drop Downs and Assumptions'!$K$2,'Drop Downs and Assumptions'!$L$2,IF(AND('Event Dataset'!N438&gt;='Drop Downs and Assumptions'!$J$3,'Event Dataset'!N438&lt;='Drop Downs and Assumptions'!$K$3),'Drop Downs and Assumptions'!$L$3,IF(AND('Event Dataset'!N438&gt;='Drop Downs and Assumptions'!$J$4,'Event Dataset'!N438&lt;='Drop Downs and Assumptions'!$K$4),'Drop Downs and Assumptions'!$L$4,IF('Event Dataset'!N438&gt;='Drop Downs and Assumptions'!$J$5,'Drop Downs and Assumptions'!$L$5,"")))))</f>
        <v/>
      </c>
      <c r="P438" s="109"/>
      <c r="Q438" s="97"/>
      <c r="R438" s="110"/>
      <c r="S438" s="111"/>
      <c r="T438" s="111"/>
      <c r="U438" s="111"/>
      <c r="V438" s="111"/>
      <c r="W438" s="111"/>
      <c r="X438" s="111"/>
      <c r="Y438" s="111"/>
      <c r="Z438" s="111"/>
      <c r="AA438" s="111"/>
      <c r="AB438" s="111"/>
      <c r="AC438" s="112"/>
      <c r="AD438" s="113" t="str">
        <f t="shared" si="57"/>
        <v/>
      </c>
      <c r="AE438" s="114" t="str">
        <f t="shared" si="58"/>
        <v/>
      </c>
      <c r="AF438" s="115" t="str">
        <f t="shared" si="59"/>
        <v/>
      </c>
      <c r="AG438" s="116" t="str">
        <f t="shared" si="53"/>
        <v/>
      </c>
    </row>
    <row r="439" spans="1:33" x14ac:dyDescent="0.25">
      <c r="A439" s="16">
        <f t="shared" si="54"/>
        <v>436</v>
      </c>
      <c r="B439" s="31" t="str">
        <f t="shared" si="55"/>
        <v/>
      </c>
      <c r="C439" s="66" t="str">
        <f t="shared" si="56"/>
        <v/>
      </c>
      <c r="D439" s="92"/>
      <c r="E439" s="93"/>
      <c r="F439" s="93"/>
      <c r="G439" s="93"/>
      <c r="H439" s="94"/>
      <c r="I439" s="93"/>
      <c r="J439" s="93"/>
      <c r="K439" s="93"/>
      <c r="L439" s="93"/>
      <c r="M439" s="93"/>
      <c r="N439" s="95"/>
      <c r="O439" s="95" t="str">
        <f>IF(N439="","",IF('Event Dataset'!N439&lt;='Drop Downs and Assumptions'!$K$2,'Drop Downs and Assumptions'!$L$2,IF(AND('Event Dataset'!N439&gt;='Drop Downs and Assumptions'!$J$3,'Event Dataset'!N439&lt;='Drop Downs and Assumptions'!$K$3),'Drop Downs and Assumptions'!$L$3,IF(AND('Event Dataset'!N439&gt;='Drop Downs and Assumptions'!$J$4,'Event Dataset'!N439&lt;='Drop Downs and Assumptions'!$K$4),'Drop Downs and Assumptions'!$L$4,IF('Event Dataset'!N439&gt;='Drop Downs and Assumptions'!$J$5,'Drop Downs and Assumptions'!$L$5,"")))))</f>
        <v/>
      </c>
      <c r="P439" s="96"/>
      <c r="Q439" s="97"/>
      <c r="R439" s="98"/>
      <c r="S439" s="99"/>
      <c r="T439" s="99"/>
      <c r="U439" s="99"/>
      <c r="V439" s="99"/>
      <c r="W439" s="99"/>
      <c r="X439" s="99"/>
      <c r="Y439" s="99"/>
      <c r="Z439" s="99"/>
      <c r="AA439" s="99"/>
      <c r="AB439" s="99"/>
      <c r="AC439" s="100"/>
      <c r="AD439" s="101" t="str">
        <f t="shared" si="57"/>
        <v/>
      </c>
      <c r="AE439" s="102" t="str">
        <f t="shared" si="58"/>
        <v/>
      </c>
      <c r="AF439" s="103" t="str">
        <f t="shared" si="59"/>
        <v/>
      </c>
      <c r="AG439" s="104" t="str">
        <f t="shared" si="53"/>
        <v/>
      </c>
    </row>
    <row r="440" spans="1:33" x14ac:dyDescent="0.25">
      <c r="A440" s="4">
        <f t="shared" si="54"/>
        <v>437</v>
      </c>
      <c r="B440" s="30" t="str">
        <f t="shared" si="55"/>
        <v/>
      </c>
      <c r="C440" s="67" t="str">
        <f t="shared" si="56"/>
        <v/>
      </c>
      <c r="D440" s="105"/>
      <c r="E440" s="106"/>
      <c r="F440" s="106"/>
      <c r="G440" s="106"/>
      <c r="H440" s="107"/>
      <c r="I440" s="106"/>
      <c r="J440" s="106"/>
      <c r="K440" s="106"/>
      <c r="L440" s="106"/>
      <c r="M440" s="106"/>
      <c r="N440" s="108"/>
      <c r="O440" s="108" t="str">
        <f>IF(N440="","",IF('Event Dataset'!N440&lt;='Drop Downs and Assumptions'!$K$2,'Drop Downs and Assumptions'!$L$2,IF(AND('Event Dataset'!N440&gt;='Drop Downs and Assumptions'!$J$3,'Event Dataset'!N440&lt;='Drop Downs and Assumptions'!$K$3),'Drop Downs and Assumptions'!$L$3,IF(AND('Event Dataset'!N440&gt;='Drop Downs and Assumptions'!$J$4,'Event Dataset'!N440&lt;='Drop Downs and Assumptions'!$K$4),'Drop Downs and Assumptions'!$L$4,IF('Event Dataset'!N440&gt;='Drop Downs and Assumptions'!$J$5,'Drop Downs and Assumptions'!$L$5,"")))))</f>
        <v/>
      </c>
      <c r="P440" s="109"/>
      <c r="Q440" s="97"/>
      <c r="R440" s="110"/>
      <c r="S440" s="111"/>
      <c r="T440" s="111"/>
      <c r="U440" s="111"/>
      <c r="V440" s="111"/>
      <c r="W440" s="111"/>
      <c r="X440" s="111"/>
      <c r="Y440" s="111"/>
      <c r="Z440" s="111"/>
      <c r="AA440" s="111"/>
      <c r="AB440" s="111"/>
      <c r="AC440" s="112"/>
      <c r="AD440" s="113" t="str">
        <f t="shared" si="57"/>
        <v/>
      </c>
      <c r="AE440" s="114" t="str">
        <f t="shared" si="58"/>
        <v/>
      </c>
      <c r="AF440" s="115" t="str">
        <f t="shared" si="59"/>
        <v/>
      </c>
      <c r="AG440" s="116" t="str">
        <f t="shared" si="53"/>
        <v/>
      </c>
    </row>
    <row r="441" spans="1:33" x14ac:dyDescent="0.25">
      <c r="A441" s="16">
        <f t="shared" si="54"/>
        <v>438</v>
      </c>
      <c r="B441" s="31" t="str">
        <f t="shared" si="55"/>
        <v/>
      </c>
      <c r="C441" s="66" t="str">
        <f t="shared" si="56"/>
        <v/>
      </c>
      <c r="D441" s="92"/>
      <c r="E441" s="93"/>
      <c r="F441" s="93"/>
      <c r="G441" s="93"/>
      <c r="H441" s="94"/>
      <c r="I441" s="93"/>
      <c r="J441" s="93"/>
      <c r="K441" s="93"/>
      <c r="L441" s="93"/>
      <c r="M441" s="93"/>
      <c r="N441" s="95"/>
      <c r="O441" s="95" t="str">
        <f>IF(N441="","",IF('Event Dataset'!N441&lt;='Drop Downs and Assumptions'!$K$2,'Drop Downs and Assumptions'!$L$2,IF(AND('Event Dataset'!N441&gt;='Drop Downs and Assumptions'!$J$3,'Event Dataset'!N441&lt;='Drop Downs and Assumptions'!$K$3),'Drop Downs and Assumptions'!$L$3,IF(AND('Event Dataset'!N441&gt;='Drop Downs and Assumptions'!$J$4,'Event Dataset'!N441&lt;='Drop Downs and Assumptions'!$K$4),'Drop Downs and Assumptions'!$L$4,IF('Event Dataset'!N441&gt;='Drop Downs and Assumptions'!$J$5,'Drop Downs and Assumptions'!$L$5,"")))))</f>
        <v/>
      </c>
      <c r="P441" s="96"/>
      <c r="Q441" s="97"/>
      <c r="R441" s="98"/>
      <c r="S441" s="99"/>
      <c r="T441" s="99"/>
      <c r="U441" s="99"/>
      <c r="V441" s="99"/>
      <c r="W441" s="99"/>
      <c r="X441" s="99"/>
      <c r="Y441" s="99"/>
      <c r="Z441" s="99"/>
      <c r="AA441" s="99"/>
      <c r="AB441" s="99"/>
      <c r="AC441" s="100"/>
      <c r="AD441" s="101" t="str">
        <f t="shared" si="57"/>
        <v/>
      </c>
      <c r="AE441" s="102" t="str">
        <f t="shared" si="58"/>
        <v/>
      </c>
      <c r="AF441" s="103" t="str">
        <f t="shared" si="59"/>
        <v/>
      </c>
      <c r="AG441" s="104" t="str">
        <f t="shared" si="53"/>
        <v/>
      </c>
    </row>
    <row r="442" spans="1:33" x14ac:dyDescent="0.25">
      <c r="A442" s="4">
        <f t="shared" si="54"/>
        <v>439</v>
      </c>
      <c r="B442" s="30" t="str">
        <f t="shared" si="55"/>
        <v/>
      </c>
      <c r="C442" s="67" t="str">
        <f t="shared" si="56"/>
        <v/>
      </c>
      <c r="D442" s="105"/>
      <c r="E442" s="106"/>
      <c r="F442" s="106"/>
      <c r="G442" s="106"/>
      <c r="H442" s="107"/>
      <c r="I442" s="106"/>
      <c r="J442" s="106"/>
      <c r="K442" s="106"/>
      <c r="L442" s="106"/>
      <c r="M442" s="106"/>
      <c r="N442" s="108"/>
      <c r="O442" s="108" t="str">
        <f>IF(N442="","",IF('Event Dataset'!N442&lt;='Drop Downs and Assumptions'!$K$2,'Drop Downs and Assumptions'!$L$2,IF(AND('Event Dataset'!N442&gt;='Drop Downs and Assumptions'!$J$3,'Event Dataset'!N442&lt;='Drop Downs and Assumptions'!$K$3),'Drop Downs and Assumptions'!$L$3,IF(AND('Event Dataset'!N442&gt;='Drop Downs and Assumptions'!$J$4,'Event Dataset'!N442&lt;='Drop Downs and Assumptions'!$K$4),'Drop Downs and Assumptions'!$L$4,IF('Event Dataset'!N442&gt;='Drop Downs and Assumptions'!$J$5,'Drop Downs and Assumptions'!$L$5,"")))))</f>
        <v/>
      </c>
      <c r="P442" s="109"/>
      <c r="Q442" s="97"/>
      <c r="R442" s="110"/>
      <c r="S442" s="111"/>
      <c r="T442" s="111"/>
      <c r="U442" s="111"/>
      <c r="V442" s="111"/>
      <c r="W442" s="111"/>
      <c r="X442" s="111"/>
      <c r="Y442" s="111"/>
      <c r="Z442" s="111"/>
      <c r="AA442" s="111"/>
      <c r="AB442" s="111"/>
      <c r="AC442" s="112"/>
      <c r="AD442" s="113" t="str">
        <f t="shared" si="57"/>
        <v/>
      </c>
      <c r="AE442" s="114" t="str">
        <f t="shared" si="58"/>
        <v/>
      </c>
      <c r="AF442" s="115" t="str">
        <f t="shared" si="59"/>
        <v/>
      </c>
      <c r="AG442" s="116" t="str">
        <f t="shared" si="53"/>
        <v/>
      </c>
    </row>
    <row r="443" spans="1:33" x14ac:dyDescent="0.25">
      <c r="A443" s="16">
        <f t="shared" si="54"/>
        <v>440</v>
      </c>
      <c r="B443" s="31" t="str">
        <f t="shared" si="55"/>
        <v/>
      </c>
      <c r="C443" s="66" t="str">
        <f t="shared" si="56"/>
        <v/>
      </c>
      <c r="D443" s="92"/>
      <c r="E443" s="93"/>
      <c r="F443" s="93"/>
      <c r="G443" s="93"/>
      <c r="H443" s="94"/>
      <c r="I443" s="93"/>
      <c r="J443" s="93"/>
      <c r="K443" s="93"/>
      <c r="L443" s="93"/>
      <c r="M443" s="93"/>
      <c r="N443" s="95"/>
      <c r="O443" s="95" t="str">
        <f>IF(N443="","",IF('Event Dataset'!N443&lt;='Drop Downs and Assumptions'!$K$2,'Drop Downs and Assumptions'!$L$2,IF(AND('Event Dataset'!N443&gt;='Drop Downs and Assumptions'!$J$3,'Event Dataset'!N443&lt;='Drop Downs and Assumptions'!$K$3),'Drop Downs and Assumptions'!$L$3,IF(AND('Event Dataset'!N443&gt;='Drop Downs and Assumptions'!$J$4,'Event Dataset'!N443&lt;='Drop Downs and Assumptions'!$K$4),'Drop Downs and Assumptions'!$L$4,IF('Event Dataset'!N443&gt;='Drop Downs and Assumptions'!$J$5,'Drop Downs and Assumptions'!$L$5,"")))))</f>
        <v/>
      </c>
      <c r="P443" s="96"/>
      <c r="Q443" s="97"/>
      <c r="R443" s="98"/>
      <c r="S443" s="99"/>
      <c r="T443" s="99"/>
      <c r="U443" s="99"/>
      <c r="V443" s="99"/>
      <c r="W443" s="99"/>
      <c r="X443" s="99"/>
      <c r="Y443" s="99"/>
      <c r="Z443" s="99"/>
      <c r="AA443" s="99"/>
      <c r="AB443" s="99"/>
      <c r="AC443" s="100"/>
      <c r="AD443" s="101" t="str">
        <f t="shared" si="57"/>
        <v/>
      </c>
      <c r="AE443" s="102" t="str">
        <f t="shared" si="58"/>
        <v/>
      </c>
      <c r="AF443" s="103" t="str">
        <f t="shared" si="59"/>
        <v/>
      </c>
      <c r="AG443" s="104" t="str">
        <f t="shared" si="53"/>
        <v/>
      </c>
    </row>
    <row r="444" spans="1:33" x14ac:dyDescent="0.25">
      <c r="A444" s="4">
        <f t="shared" si="54"/>
        <v>441</v>
      </c>
      <c r="B444" s="30" t="str">
        <f t="shared" si="55"/>
        <v/>
      </c>
      <c r="C444" s="67" t="str">
        <f t="shared" si="56"/>
        <v/>
      </c>
      <c r="D444" s="105"/>
      <c r="E444" s="106"/>
      <c r="F444" s="106"/>
      <c r="G444" s="106"/>
      <c r="H444" s="107"/>
      <c r="I444" s="106"/>
      <c r="J444" s="106"/>
      <c r="K444" s="106"/>
      <c r="L444" s="106"/>
      <c r="M444" s="106"/>
      <c r="N444" s="108"/>
      <c r="O444" s="108" t="str">
        <f>IF(N444="","",IF('Event Dataset'!N444&lt;='Drop Downs and Assumptions'!$K$2,'Drop Downs and Assumptions'!$L$2,IF(AND('Event Dataset'!N444&gt;='Drop Downs and Assumptions'!$J$3,'Event Dataset'!N444&lt;='Drop Downs and Assumptions'!$K$3),'Drop Downs and Assumptions'!$L$3,IF(AND('Event Dataset'!N444&gt;='Drop Downs and Assumptions'!$J$4,'Event Dataset'!N444&lt;='Drop Downs and Assumptions'!$K$4),'Drop Downs and Assumptions'!$L$4,IF('Event Dataset'!N444&gt;='Drop Downs and Assumptions'!$J$5,'Drop Downs and Assumptions'!$L$5,"")))))</f>
        <v/>
      </c>
      <c r="P444" s="109"/>
      <c r="Q444" s="97"/>
      <c r="R444" s="110"/>
      <c r="S444" s="111"/>
      <c r="T444" s="111"/>
      <c r="U444" s="111"/>
      <c r="V444" s="111"/>
      <c r="W444" s="111"/>
      <c r="X444" s="111"/>
      <c r="Y444" s="111"/>
      <c r="Z444" s="111"/>
      <c r="AA444" s="111"/>
      <c r="AB444" s="111"/>
      <c r="AC444" s="112"/>
      <c r="AD444" s="113" t="str">
        <f t="shared" si="57"/>
        <v/>
      </c>
      <c r="AE444" s="114" t="str">
        <f t="shared" si="58"/>
        <v/>
      </c>
      <c r="AF444" s="115" t="str">
        <f t="shared" si="59"/>
        <v/>
      </c>
      <c r="AG444" s="116" t="str">
        <f t="shared" si="53"/>
        <v/>
      </c>
    </row>
    <row r="445" spans="1:33" x14ac:dyDescent="0.25">
      <c r="A445" s="16">
        <f t="shared" si="54"/>
        <v>442</v>
      </c>
      <c r="B445" s="31" t="str">
        <f t="shared" si="55"/>
        <v/>
      </c>
      <c r="C445" s="66" t="str">
        <f t="shared" si="56"/>
        <v/>
      </c>
      <c r="D445" s="92"/>
      <c r="E445" s="93"/>
      <c r="F445" s="93"/>
      <c r="G445" s="93"/>
      <c r="H445" s="94"/>
      <c r="I445" s="93"/>
      <c r="J445" s="93"/>
      <c r="K445" s="93"/>
      <c r="L445" s="93"/>
      <c r="M445" s="93"/>
      <c r="N445" s="95"/>
      <c r="O445" s="95" t="str">
        <f>IF(N445="","",IF('Event Dataset'!N445&lt;='Drop Downs and Assumptions'!$K$2,'Drop Downs and Assumptions'!$L$2,IF(AND('Event Dataset'!N445&gt;='Drop Downs and Assumptions'!$J$3,'Event Dataset'!N445&lt;='Drop Downs and Assumptions'!$K$3),'Drop Downs and Assumptions'!$L$3,IF(AND('Event Dataset'!N445&gt;='Drop Downs and Assumptions'!$J$4,'Event Dataset'!N445&lt;='Drop Downs and Assumptions'!$K$4),'Drop Downs and Assumptions'!$L$4,IF('Event Dataset'!N445&gt;='Drop Downs and Assumptions'!$J$5,'Drop Downs and Assumptions'!$L$5,"")))))</f>
        <v/>
      </c>
      <c r="P445" s="96"/>
      <c r="Q445" s="97"/>
      <c r="R445" s="98"/>
      <c r="S445" s="99"/>
      <c r="T445" s="99"/>
      <c r="U445" s="99"/>
      <c r="V445" s="99"/>
      <c r="W445" s="99"/>
      <c r="X445" s="99"/>
      <c r="Y445" s="99"/>
      <c r="Z445" s="99"/>
      <c r="AA445" s="99"/>
      <c r="AB445" s="99"/>
      <c r="AC445" s="100"/>
      <c r="AD445" s="101" t="str">
        <f t="shared" si="57"/>
        <v/>
      </c>
      <c r="AE445" s="102" t="str">
        <f t="shared" si="58"/>
        <v/>
      </c>
      <c r="AF445" s="103" t="str">
        <f t="shared" si="59"/>
        <v/>
      </c>
      <c r="AG445" s="104" t="str">
        <f t="shared" si="53"/>
        <v/>
      </c>
    </row>
    <row r="446" spans="1:33" x14ac:dyDescent="0.25">
      <c r="A446" s="4">
        <f t="shared" si="54"/>
        <v>443</v>
      </c>
      <c r="B446" s="30" t="str">
        <f t="shared" si="55"/>
        <v/>
      </c>
      <c r="C446" s="67" t="str">
        <f t="shared" si="56"/>
        <v/>
      </c>
      <c r="D446" s="105"/>
      <c r="E446" s="106"/>
      <c r="F446" s="106"/>
      <c r="G446" s="106"/>
      <c r="H446" s="107"/>
      <c r="I446" s="106"/>
      <c r="J446" s="106"/>
      <c r="K446" s="106"/>
      <c r="L446" s="106"/>
      <c r="M446" s="106"/>
      <c r="N446" s="108"/>
      <c r="O446" s="108" t="str">
        <f>IF(N446="","",IF('Event Dataset'!N446&lt;='Drop Downs and Assumptions'!$K$2,'Drop Downs and Assumptions'!$L$2,IF(AND('Event Dataset'!N446&gt;='Drop Downs and Assumptions'!$J$3,'Event Dataset'!N446&lt;='Drop Downs and Assumptions'!$K$3),'Drop Downs and Assumptions'!$L$3,IF(AND('Event Dataset'!N446&gt;='Drop Downs and Assumptions'!$J$4,'Event Dataset'!N446&lt;='Drop Downs and Assumptions'!$K$4),'Drop Downs and Assumptions'!$L$4,IF('Event Dataset'!N446&gt;='Drop Downs and Assumptions'!$J$5,'Drop Downs and Assumptions'!$L$5,"")))))</f>
        <v/>
      </c>
      <c r="P446" s="109"/>
      <c r="Q446" s="97"/>
      <c r="R446" s="110"/>
      <c r="S446" s="111"/>
      <c r="T446" s="111"/>
      <c r="U446" s="111"/>
      <c r="V446" s="111"/>
      <c r="W446" s="111"/>
      <c r="X446" s="111"/>
      <c r="Y446" s="111"/>
      <c r="Z446" s="111"/>
      <c r="AA446" s="111"/>
      <c r="AB446" s="111"/>
      <c r="AC446" s="112"/>
      <c r="AD446" s="113" t="str">
        <f t="shared" si="57"/>
        <v/>
      </c>
      <c r="AE446" s="114" t="str">
        <f t="shared" si="58"/>
        <v/>
      </c>
      <c r="AF446" s="115" t="str">
        <f t="shared" si="59"/>
        <v/>
      </c>
      <c r="AG446" s="116" t="str">
        <f t="shared" si="53"/>
        <v/>
      </c>
    </row>
    <row r="447" spans="1:33" x14ac:dyDescent="0.25">
      <c r="A447" s="16">
        <f t="shared" si="54"/>
        <v>444</v>
      </c>
      <c r="B447" s="31" t="str">
        <f t="shared" si="55"/>
        <v/>
      </c>
      <c r="C447" s="66" t="str">
        <f t="shared" si="56"/>
        <v/>
      </c>
      <c r="D447" s="92"/>
      <c r="E447" s="93"/>
      <c r="F447" s="93"/>
      <c r="G447" s="93"/>
      <c r="H447" s="94"/>
      <c r="I447" s="93"/>
      <c r="J447" s="93"/>
      <c r="K447" s="93"/>
      <c r="L447" s="93"/>
      <c r="M447" s="93"/>
      <c r="N447" s="95"/>
      <c r="O447" s="95" t="str">
        <f>IF(N447="","",IF('Event Dataset'!N447&lt;='Drop Downs and Assumptions'!$K$2,'Drop Downs and Assumptions'!$L$2,IF(AND('Event Dataset'!N447&gt;='Drop Downs and Assumptions'!$J$3,'Event Dataset'!N447&lt;='Drop Downs and Assumptions'!$K$3),'Drop Downs and Assumptions'!$L$3,IF(AND('Event Dataset'!N447&gt;='Drop Downs and Assumptions'!$J$4,'Event Dataset'!N447&lt;='Drop Downs and Assumptions'!$K$4),'Drop Downs and Assumptions'!$L$4,IF('Event Dataset'!N447&gt;='Drop Downs and Assumptions'!$J$5,'Drop Downs and Assumptions'!$L$5,"")))))</f>
        <v/>
      </c>
      <c r="P447" s="96"/>
      <c r="Q447" s="97"/>
      <c r="R447" s="98"/>
      <c r="S447" s="99"/>
      <c r="T447" s="99"/>
      <c r="U447" s="99"/>
      <c r="V447" s="99"/>
      <c r="W447" s="99"/>
      <c r="X447" s="99"/>
      <c r="Y447" s="99"/>
      <c r="Z447" s="99"/>
      <c r="AA447" s="99"/>
      <c r="AB447" s="99"/>
      <c r="AC447" s="100"/>
      <c r="AD447" s="101" t="str">
        <f t="shared" si="57"/>
        <v/>
      </c>
      <c r="AE447" s="102" t="str">
        <f t="shared" si="58"/>
        <v/>
      </c>
      <c r="AF447" s="103" t="str">
        <f t="shared" si="59"/>
        <v/>
      </c>
      <c r="AG447" s="104" t="str">
        <f t="shared" si="53"/>
        <v/>
      </c>
    </row>
    <row r="448" spans="1:33" x14ac:dyDescent="0.25">
      <c r="A448" s="4">
        <f t="shared" si="54"/>
        <v>445</v>
      </c>
      <c r="B448" s="30" t="str">
        <f t="shared" si="55"/>
        <v/>
      </c>
      <c r="C448" s="67" t="str">
        <f t="shared" si="56"/>
        <v/>
      </c>
      <c r="D448" s="105"/>
      <c r="E448" s="106"/>
      <c r="F448" s="106"/>
      <c r="G448" s="106"/>
      <c r="H448" s="107"/>
      <c r="I448" s="106"/>
      <c r="J448" s="106"/>
      <c r="K448" s="106"/>
      <c r="L448" s="106"/>
      <c r="M448" s="106"/>
      <c r="N448" s="108"/>
      <c r="O448" s="108" t="str">
        <f>IF(N448="","",IF('Event Dataset'!N448&lt;='Drop Downs and Assumptions'!$K$2,'Drop Downs and Assumptions'!$L$2,IF(AND('Event Dataset'!N448&gt;='Drop Downs and Assumptions'!$J$3,'Event Dataset'!N448&lt;='Drop Downs and Assumptions'!$K$3),'Drop Downs and Assumptions'!$L$3,IF(AND('Event Dataset'!N448&gt;='Drop Downs and Assumptions'!$J$4,'Event Dataset'!N448&lt;='Drop Downs and Assumptions'!$K$4),'Drop Downs and Assumptions'!$L$4,IF('Event Dataset'!N448&gt;='Drop Downs and Assumptions'!$J$5,'Drop Downs and Assumptions'!$L$5,"")))))</f>
        <v/>
      </c>
      <c r="P448" s="109"/>
      <c r="Q448" s="97"/>
      <c r="R448" s="110"/>
      <c r="S448" s="111"/>
      <c r="T448" s="111"/>
      <c r="U448" s="111"/>
      <c r="V448" s="111"/>
      <c r="W448" s="111"/>
      <c r="X448" s="111"/>
      <c r="Y448" s="111"/>
      <c r="Z448" s="111"/>
      <c r="AA448" s="111"/>
      <c r="AB448" s="111"/>
      <c r="AC448" s="112"/>
      <c r="AD448" s="113" t="str">
        <f t="shared" si="57"/>
        <v/>
      </c>
      <c r="AE448" s="114" t="str">
        <f t="shared" si="58"/>
        <v/>
      </c>
      <c r="AF448" s="115" t="str">
        <f t="shared" si="59"/>
        <v/>
      </c>
      <c r="AG448" s="116" t="str">
        <f t="shared" si="53"/>
        <v/>
      </c>
    </row>
    <row r="449" spans="1:33" x14ac:dyDescent="0.25">
      <c r="A449" s="16">
        <f t="shared" si="54"/>
        <v>446</v>
      </c>
      <c r="B449" s="31" t="str">
        <f t="shared" si="55"/>
        <v/>
      </c>
      <c r="C449" s="66" t="str">
        <f t="shared" si="56"/>
        <v/>
      </c>
      <c r="D449" s="92"/>
      <c r="E449" s="93"/>
      <c r="F449" s="93"/>
      <c r="G449" s="93"/>
      <c r="H449" s="94"/>
      <c r="I449" s="93"/>
      <c r="J449" s="93"/>
      <c r="K449" s="93"/>
      <c r="L449" s="93"/>
      <c r="M449" s="93"/>
      <c r="N449" s="95"/>
      <c r="O449" s="95" t="str">
        <f>IF(N449="","",IF('Event Dataset'!N449&lt;='Drop Downs and Assumptions'!$K$2,'Drop Downs and Assumptions'!$L$2,IF(AND('Event Dataset'!N449&gt;='Drop Downs and Assumptions'!$J$3,'Event Dataset'!N449&lt;='Drop Downs and Assumptions'!$K$3),'Drop Downs and Assumptions'!$L$3,IF(AND('Event Dataset'!N449&gt;='Drop Downs and Assumptions'!$J$4,'Event Dataset'!N449&lt;='Drop Downs and Assumptions'!$K$4),'Drop Downs and Assumptions'!$L$4,IF('Event Dataset'!N449&gt;='Drop Downs and Assumptions'!$J$5,'Drop Downs and Assumptions'!$L$5,"")))))</f>
        <v/>
      </c>
      <c r="P449" s="96"/>
      <c r="Q449" s="97"/>
      <c r="R449" s="98"/>
      <c r="S449" s="99"/>
      <c r="T449" s="99"/>
      <c r="U449" s="99"/>
      <c r="V449" s="99"/>
      <c r="W449" s="99"/>
      <c r="X449" s="99"/>
      <c r="Y449" s="99"/>
      <c r="Z449" s="99"/>
      <c r="AA449" s="99"/>
      <c r="AB449" s="99"/>
      <c r="AC449" s="100"/>
      <c r="AD449" s="101" t="str">
        <f t="shared" si="57"/>
        <v/>
      </c>
      <c r="AE449" s="102" t="str">
        <f t="shared" si="58"/>
        <v/>
      </c>
      <c r="AF449" s="103" t="str">
        <f t="shared" si="59"/>
        <v/>
      </c>
      <c r="AG449" s="104" t="str">
        <f t="shared" si="53"/>
        <v/>
      </c>
    </row>
    <row r="450" spans="1:33" x14ac:dyDescent="0.25">
      <c r="A450" s="4">
        <f t="shared" si="54"/>
        <v>447</v>
      </c>
      <c r="B450" s="30" t="str">
        <f t="shared" si="55"/>
        <v/>
      </c>
      <c r="C450" s="67" t="str">
        <f t="shared" si="56"/>
        <v/>
      </c>
      <c r="D450" s="105"/>
      <c r="E450" s="106"/>
      <c r="F450" s="106"/>
      <c r="G450" s="106"/>
      <c r="H450" s="107"/>
      <c r="I450" s="106"/>
      <c r="J450" s="106"/>
      <c r="K450" s="106"/>
      <c r="L450" s="106"/>
      <c r="M450" s="106"/>
      <c r="N450" s="108"/>
      <c r="O450" s="108" t="str">
        <f>IF(N450="","",IF('Event Dataset'!N450&lt;='Drop Downs and Assumptions'!$K$2,'Drop Downs and Assumptions'!$L$2,IF(AND('Event Dataset'!N450&gt;='Drop Downs and Assumptions'!$J$3,'Event Dataset'!N450&lt;='Drop Downs and Assumptions'!$K$3),'Drop Downs and Assumptions'!$L$3,IF(AND('Event Dataset'!N450&gt;='Drop Downs and Assumptions'!$J$4,'Event Dataset'!N450&lt;='Drop Downs and Assumptions'!$K$4),'Drop Downs and Assumptions'!$L$4,IF('Event Dataset'!N450&gt;='Drop Downs and Assumptions'!$J$5,'Drop Downs and Assumptions'!$L$5,"")))))</f>
        <v/>
      </c>
      <c r="P450" s="109"/>
      <c r="Q450" s="97"/>
      <c r="R450" s="110"/>
      <c r="S450" s="111"/>
      <c r="T450" s="111"/>
      <c r="U450" s="111"/>
      <c r="V450" s="111"/>
      <c r="W450" s="111"/>
      <c r="X450" s="111"/>
      <c r="Y450" s="111"/>
      <c r="Z450" s="111"/>
      <c r="AA450" s="111"/>
      <c r="AB450" s="111"/>
      <c r="AC450" s="112"/>
      <c r="AD450" s="113" t="str">
        <f t="shared" si="57"/>
        <v/>
      </c>
      <c r="AE450" s="114" t="str">
        <f t="shared" si="58"/>
        <v/>
      </c>
      <c r="AF450" s="115" t="str">
        <f t="shared" si="59"/>
        <v/>
      </c>
      <c r="AG450" s="116" t="str">
        <f t="shared" si="53"/>
        <v/>
      </c>
    </row>
    <row r="451" spans="1:33" x14ac:dyDescent="0.25">
      <c r="A451" s="16">
        <f t="shared" si="54"/>
        <v>448</v>
      </c>
      <c r="B451" s="31" t="str">
        <f t="shared" si="55"/>
        <v/>
      </c>
      <c r="C451" s="66" t="str">
        <f t="shared" si="56"/>
        <v/>
      </c>
      <c r="D451" s="92"/>
      <c r="E451" s="93"/>
      <c r="F451" s="93"/>
      <c r="G451" s="93"/>
      <c r="H451" s="94"/>
      <c r="I451" s="93"/>
      <c r="J451" s="93"/>
      <c r="K451" s="93"/>
      <c r="L451" s="93"/>
      <c r="M451" s="93"/>
      <c r="N451" s="95"/>
      <c r="O451" s="95" t="str">
        <f>IF(N451="","",IF('Event Dataset'!N451&lt;='Drop Downs and Assumptions'!$K$2,'Drop Downs and Assumptions'!$L$2,IF(AND('Event Dataset'!N451&gt;='Drop Downs and Assumptions'!$J$3,'Event Dataset'!N451&lt;='Drop Downs and Assumptions'!$K$3),'Drop Downs and Assumptions'!$L$3,IF(AND('Event Dataset'!N451&gt;='Drop Downs and Assumptions'!$J$4,'Event Dataset'!N451&lt;='Drop Downs and Assumptions'!$K$4),'Drop Downs and Assumptions'!$L$4,IF('Event Dataset'!N451&gt;='Drop Downs and Assumptions'!$J$5,'Drop Downs and Assumptions'!$L$5,"")))))</f>
        <v/>
      </c>
      <c r="P451" s="96"/>
      <c r="Q451" s="97"/>
      <c r="R451" s="98"/>
      <c r="S451" s="99"/>
      <c r="T451" s="99"/>
      <c r="U451" s="99"/>
      <c r="V451" s="99"/>
      <c r="W451" s="99"/>
      <c r="X451" s="99"/>
      <c r="Y451" s="99"/>
      <c r="Z451" s="99"/>
      <c r="AA451" s="99"/>
      <c r="AB451" s="99"/>
      <c r="AC451" s="100"/>
      <c r="AD451" s="101" t="str">
        <f t="shared" si="57"/>
        <v/>
      </c>
      <c r="AE451" s="102" t="str">
        <f t="shared" si="58"/>
        <v/>
      </c>
      <c r="AF451" s="103" t="str">
        <f t="shared" si="59"/>
        <v/>
      </c>
      <c r="AG451" s="104" t="str">
        <f t="shared" si="53"/>
        <v/>
      </c>
    </row>
    <row r="452" spans="1:33" x14ac:dyDescent="0.25">
      <c r="A452" s="4">
        <f t="shared" si="54"/>
        <v>449</v>
      </c>
      <c r="B452" s="30" t="str">
        <f t="shared" si="55"/>
        <v/>
      </c>
      <c r="C452" s="67" t="str">
        <f t="shared" si="56"/>
        <v/>
      </c>
      <c r="D452" s="105"/>
      <c r="E452" s="106"/>
      <c r="F452" s="106"/>
      <c r="G452" s="106"/>
      <c r="H452" s="107"/>
      <c r="I452" s="106"/>
      <c r="J452" s="106"/>
      <c r="K452" s="106"/>
      <c r="L452" s="106"/>
      <c r="M452" s="106"/>
      <c r="N452" s="108"/>
      <c r="O452" s="108" t="str">
        <f>IF(N452="","",IF('Event Dataset'!N452&lt;='Drop Downs and Assumptions'!$K$2,'Drop Downs and Assumptions'!$L$2,IF(AND('Event Dataset'!N452&gt;='Drop Downs and Assumptions'!$J$3,'Event Dataset'!N452&lt;='Drop Downs and Assumptions'!$K$3),'Drop Downs and Assumptions'!$L$3,IF(AND('Event Dataset'!N452&gt;='Drop Downs and Assumptions'!$J$4,'Event Dataset'!N452&lt;='Drop Downs and Assumptions'!$K$4),'Drop Downs and Assumptions'!$L$4,IF('Event Dataset'!N452&gt;='Drop Downs and Assumptions'!$J$5,'Drop Downs and Assumptions'!$L$5,"")))))</f>
        <v/>
      </c>
      <c r="P452" s="109"/>
      <c r="Q452" s="97"/>
      <c r="R452" s="110"/>
      <c r="S452" s="111"/>
      <c r="T452" s="111"/>
      <c r="U452" s="111"/>
      <c r="V452" s="111"/>
      <c r="W452" s="111"/>
      <c r="X452" s="111"/>
      <c r="Y452" s="111"/>
      <c r="Z452" s="111"/>
      <c r="AA452" s="111"/>
      <c r="AB452" s="111"/>
      <c r="AC452" s="112"/>
      <c r="AD452" s="113" t="str">
        <f t="shared" si="57"/>
        <v/>
      </c>
      <c r="AE452" s="114" t="str">
        <f t="shared" si="58"/>
        <v/>
      </c>
      <c r="AF452" s="115" t="str">
        <f t="shared" si="59"/>
        <v/>
      </c>
      <c r="AG452" s="116" t="str">
        <f t="shared" ref="AG452:AG470" si="60">IFERROR((AD452-AC452)*1000/P452/N452,"")</f>
        <v/>
      </c>
    </row>
    <row r="453" spans="1:33" x14ac:dyDescent="0.25">
      <c r="A453" s="16">
        <f t="shared" ref="A453:A470" si="61">A452+1</f>
        <v>450</v>
      </c>
      <c r="B453" s="31" t="str">
        <f t="shared" ref="B453:B470" si="62">IFERROR(RANK(AF453,$AF$4:$AF$470,0),"")</f>
        <v/>
      </c>
      <c r="C453" s="66" t="str">
        <f t="shared" si="56"/>
        <v/>
      </c>
      <c r="D453" s="92"/>
      <c r="E453" s="93"/>
      <c r="F453" s="93"/>
      <c r="G453" s="93"/>
      <c r="H453" s="94"/>
      <c r="I453" s="93"/>
      <c r="J453" s="93"/>
      <c r="K453" s="93"/>
      <c r="L453" s="93"/>
      <c r="M453" s="93"/>
      <c r="N453" s="95"/>
      <c r="O453" s="95" t="str">
        <f>IF(N453="","",IF('Event Dataset'!N453&lt;='Drop Downs and Assumptions'!$K$2,'Drop Downs and Assumptions'!$L$2,IF(AND('Event Dataset'!N453&gt;='Drop Downs and Assumptions'!$J$3,'Event Dataset'!N453&lt;='Drop Downs and Assumptions'!$K$3),'Drop Downs and Assumptions'!$L$3,IF(AND('Event Dataset'!N453&gt;='Drop Downs and Assumptions'!$J$4,'Event Dataset'!N453&lt;='Drop Downs and Assumptions'!$K$4),'Drop Downs and Assumptions'!$L$4,IF('Event Dataset'!N453&gt;='Drop Downs and Assumptions'!$J$5,'Drop Downs and Assumptions'!$L$5,"")))))</f>
        <v/>
      </c>
      <c r="P453" s="96"/>
      <c r="Q453" s="97"/>
      <c r="R453" s="98"/>
      <c r="S453" s="99"/>
      <c r="T453" s="99"/>
      <c r="U453" s="99"/>
      <c r="V453" s="99"/>
      <c r="W453" s="99"/>
      <c r="X453" s="99"/>
      <c r="Y453" s="99"/>
      <c r="Z453" s="99"/>
      <c r="AA453" s="99"/>
      <c r="AB453" s="99"/>
      <c r="AC453" s="100"/>
      <c r="AD453" s="101" t="str">
        <f t="shared" si="57"/>
        <v/>
      </c>
      <c r="AE453" s="102" t="str">
        <f t="shared" si="58"/>
        <v/>
      </c>
      <c r="AF453" s="103" t="str">
        <f t="shared" si="59"/>
        <v/>
      </c>
      <c r="AG453" s="104" t="str">
        <f t="shared" si="60"/>
        <v/>
      </c>
    </row>
    <row r="454" spans="1:33" x14ac:dyDescent="0.25">
      <c r="A454" s="4">
        <f t="shared" si="61"/>
        <v>451</v>
      </c>
      <c r="B454" s="30" t="str">
        <f t="shared" si="62"/>
        <v/>
      </c>
      <c r="C454" s="67" t="str">
        <f t="shared" si="56"/>
        <v/>
      </c>
      <c r="D454" s="105"/>
      <c r="E454" s="106"/>
      <c r="F454" s="106"/>
      <c r="G454" s="106"/>
      <c r="H454" s="107"/>
      <c r="I454" s="106"/>
      <c r="J454" s="106"/>
      <c r="K454" s="106"/>
      <c r="L454" s="106"/>
      <c r="M454" s="106"/>
      <c r="N454" s="108"/>
      <c r="O454" s="108" t="str">
        <f>IF(N454="","",IF('Event Dataset'!N454&lt;='Drop Downs and Assumptions'!$K$2,'Drop Downs and Assumptions'!$L$2,IF(AND('Event Dataset'!N454&gt;='Drop Downs and Assumptions'!$J$3,'Event Dataset'!N454&lt;='Drop Downs and Assumptions'!$K$3),'Drop Downs and Assumptions'!$L$3,IF(AND('Event Dataset'!N454&gt;='Drop Downs and Assumptions'!$J$4,'Event Dataset'!N454&lt;='Drop Downs and Assumptions'!$K$4),'Drop Downs and Assumptions'!$L$4,IF('Event Dataset'!N454&gt;='Drop Downs and Assumptions'!$J$5,'Drop Downs and Assumptions'!$L$5,"")))))</f>
        <v/>
      </c>
      <c r="P454" s="109"/>
      <c r="Q454" s="97"/>
      <c r="R454" s="110"/>
      <c r="S454" s="111"/>
      <c r="T454" s="111"/>
      <c r="U454" s="111"/>
      <c r="V454" s="111"/>
      <c r="W454" s="111"/>
      <c r="X454" s="111"/>
      <c r="Y454" s="111"/>
      <c r="Z454" s="111"/>
      <c r="AA454" s="111"/>
      <c r="AB454" s="111"/>
      <c r="AC454" s="112"/>
      <c r="AD454" s="113" t="str">
        <f t="shared" si="57"/>
        <v/>
      </c>
      <c r="AE454" s="114" t="str">
        <f t="shared" si="58"/>
        <v/>
      </c>
      <c r="AF454" s="115" t="str">
        <f t="shared" si="59"/>
        <v/>
      </c>
      <c r="AG454" s="116" t="str">
        <f t="shared" si="60"/>
        <v/>
      </c>
    </row>
    <row r="455" spans="1:33" x14ac:dyDescent="0.25">
      <c r="A455" s="16">
        <f t="shared" si="61"/>
        <v>452</v>
      </c>
      <c r="B455" s="31" t="str">
        <f t="shared" si="62"/>
        <v/>
      </c>
      <c r="C455" s="66" t="str">
        <f t="shared" si="56"/>
        <v/>
      </c>
      <c r="D455" s="92"/>
      <c r="E455" s="93"/>
      <c r="F455" s="93"/>
      <c r="G455" s="93"/>
      <c r="H455" s="94"/>
      <c r="I455" s="93"/>
      <c r="J455" s="93"/>
      <c r="K455" s="93"/>
      <c r="L455" s="93"/>
      <c r="M455" s="93"/>
      <c r="N455" s="95"/>
      <c r="O455" s="95" t="str">
        <f>IF(N455="","",IF('Event Dataset'!N455&lt;='Drop Downs and Assumptions'!$K$2,'Drop Downs and Assumptions'!$L$2,IF(AND('Event Dataset'!N455&gt;='Drop Downs and Assumptions'!$J$3,'Event Dataset'!N455&lt;='Drop Downs and Assumptions'!$K$3),'Drop Downs and Assumptions'!$L$3,IF(AND('Event Dataset'!N455&gt;='Drop Downs and Assumptions'!$J$4,'Event Dataset'!N455&lt;='Drop Downs and Assumptions'!$K$4),'Drop Downs and Assumptions'!$L$4,IF('Event Dataset'!N455&gt;='Drop Downs and Assumptions'!$J$5,'Drop Downs and Assumptions'!$L$5,"")))))</f>
        <v/>
      </c>
      <c r="P455" s="96"/>
      <c r="Q455" s="97"/>
      <c r="R455" s="98"/>
      <c r="S455" s="99"/>
      <c r="T455" s="99"/>
      <c r="U455" s="99"/>
      <c r="V455" s="99"/>
      <c r="W455" s="99"/>
      <c r="X455" s="99"/>
      <c r="Y455" s="99"/>
      <c r="Z455" s="99"/>
      <c r="AA455" s="99"/>
      <c r="AB455" s="99"/>
      <c r="AC455" s="100"/>
      <c r="AD455" s="101" t="str">
        <f t="shared" si="57"/>
        <v/>
      </c>
      <c r="AE455" s="102" t="str">
        <f t="shared" si="58"/>
        <v/>
      </c>
      <c r="AF455" s="103" t="str">
        <f t="shared" si="59"/>
        <v/>
      </c>
      <c r="AG455" s="104" t="str">
        <f t="shared" si="60"/>
        <v/>
      </c>
    </row>
    <row r="456" spans="1:33" x14ac:dyDescent="0.25">
      <c r="A456" s="4">
        <f t="shared" si="61"/>
        <v>453</v>
      </c>
      <c r="B456" s="30" t="str">
        <f t="shared" si="62"/>
        <v/>
      </c>
      <c r="C456" s="67" t="str">
        <f t="shared" si="56"/>
        <v/>
      </c>
      <c r="D456" s="105"/>
      <c r="E456" s="106"/>
      <c r="F456" s="106"/>
      <c r="G456" s="106"/>
      <c r="H456" s="107"/>
      <c r="I456" s="106"/>
      <c r="J456" s="106"/>
      <c r="K456" s="106"/>
      <c r="L456" s="106"/>
      <c r="M456" s="106"/>
      <c r="N456" s="108"/>
      <c r="O456" s="108" t="str">
        <f>IF(N456="","",IF('Event Dataset'!N456&lt;='Drop Downs and Assumptions'!$K$2,'Drop Downs and Assumptions'!$L$2,IF(AND('Event Dataset'!N456&gt;='Drop Downs and Assumptions'!$J$3,'Event Dataset'!N456&lt;='Drop Downs and Assumptions'!$K$3),'Drop Downs and Assumptions'!$L$3,IF(AND('Event Dataset'!N456&gt;='Drop Downs and Assumptions'!$J$4,'Event Dataset'!N456&lt;='Drop Downs and Assumptions'!$K$4),'Drop Downs and Assumptions'!$L$4,IF('Event Dataset'!N456&gt;='Drop Downs and Assumptions'!$J$5,'Drop Downs and Assumptions'!$L$5,"")))))</f>
        <v/>
      </c>
      <c r="P456" s="109"/>
      <c r="Q456" s="97"/>
      <c r="R456" s="110"/>
      <c r="S456" s="111"/>
      <c r="T456" s="111"/>
      <c r="U456" s="111"/>
      <c r="V456" s="111"/>
      <c r="W456" s="111"/>
      <c r="X456" s="111"/>
      <c r="Y456" s="111"/>
      <c r="Z456" s="111"/>
      <c r="AA456" s="111"/>
      <c r="AB456" s="111"/>
      <c r="AC456" s="112"/>
      <c r="AD456" s="113" t="str">
        <f t="shared" si="57"/>
        <v/>
      </c>
      <c r="AE456" s="114" t="str">
        <f t="shared" si="58"/>
        <v/>
      </c>
      <c r="AF456" s="115" t="str">
        <f t="shared" si="59"/>
        <v/>
      </c>
      <c r="AG456" s="116" t="str">
        <f t="shared" si="60"/>
        <v/>
      </c>
    </row>
    <row r="457" spans="1:33" x14ac:dyDescent="0.25">
      <c r="A457" s="16">
        <f t="shared" si="61"/>
        <v>454</v>
      </c>
      <c r="B457" s="31" t="str">
        <f t="shared" si="62"/>
        <v/>
      </c>
      <c r="C457" s="66" t="str">
        <f t="shared" si="56"/>
        <v/>
      </c>
      <c r="D457" s="92"/>
      <c r="E457" s="93"/>
      <c r="F457" s="93"/>
      <c r="G457" s="93"/>
      <c r="H457" s="94"/>
      <c r="I457" s="93"/>
      <c r="J457" s="93"/>
      <c r="K457" s="93"/>
      <c r="L457" s="93"/>
      <c r="M457" s="93"/>
      <c r="N457" s="95"/>
      <c r="O457" s="95" t="str">
        <f>IF(N457="","",IF('Event Dataset'!N457&lt;='Drop Downs and Assumptions'!$K$2,'Drop Downs and Assumptions'!$L$2,IF(AND('Event Dataset'!N457&gt;='Drop Downs and Assumptions'!$J$3,'Event Dataset'!N457&lt;='Drop Downs and Assumptions'!$K$3),'Drop Downs and Assumptions'!$L$3,IF(AND('Event Dataset'!N457&gt;='Drop Downs and Assumptions'!$J$4,'Event Dataset'!N457&lt;='Drop Downs and Assumptions'!$K$4),'Drop Downs and Assumptions'!$L$4,IF('Event Dataset'!N457&gt;='Drop Downs and Assumptions'!$J$5,'Drop Downs and Assumptions'!$L$5,"")))))</f>
        <v/>
      </c>
      <c r="P457" s="96"/>
      <c r="Q457" s="97"/>
      <c r="R457" s="98"/>
      <c r="S457" s="99"/>
      <c r="T457" s="99"/>
      <c r="U457" s="99"/>
      <c r="V457" s="99"/>
      <c r="W457" s="99"/>
      <c r="X457" s="99"/>
      <c r="Y457" s="99"/>
      <c r="Z457" s="99"/>
      <c r="AA457" s="99"/>
      <c r="AB457" s="99"/>
      <c r="AC457" s="100"/>
      <c r="AD457" s="101" t="str">
        <f t="shared" si="57"/>
        <v/>
      </c>
      <c r="AE457" s="102" t="str">
        <f t="shared" si="58"/>
        <v/>
      </c>
      <c r="AF457" s="103" t="str">
        <f t="shared" si="59"/>
        <v/>
      </c>
      <c r="AG457" s="104" t="str">
        <f t="shared" si="60"/>
        <v/>
      </c>
    </row>
    <row r="458" spans="1:33" x14ac:dyDescent="0.25">
      <c r="A458" s="4">
        <f t="shared" si="61"/>
        <v>455</v>
      </c>
      <c r="B458" s="30" t="str">
        <f t="shared" si="62"/>
        <v/>
      </c>
      <c r="C458" s="67" t="str">
        <f t="shared" si="56"/>
        <v/>
      </c>
      <c r="D458" s="105"/>
      <c r="E458" s="106"/>
      <c r="F458" s="106"/>
      <c r="G458" s="106"/>
      <c r="H458" s="107"/>
      <c r="I458" s="106"/>
      <c r="J458" s="106"/>
      <c r="K458" s="106"/>
      <c r="L458" s="106"/>
      <c r="M458" s="106"/>
      <c r="N458" s="108"/>
      <c r="O458" s="108" t="str">
        <f>IF(N458="","",IF('Event Dataset'!N458&lt;='Drop Downs and Assumptions'!$K$2,'Drop Downs and Assumptions'!$L$2,IF(AND('Event Dataset'!N458&gt;='Drop Downs and Assumptions'!$J$3,'Event Dataset'!N458&lt;='Drop Downs and Assumptions'!$K$3),'Drop Downs and Assumptions'!$L$3,IF(AND('Event Dataset'!N458&gt;='Drop Downs and Assumptions'!$J$4,'Event Dataset'!N458&lt;='Drop Downs and Assumptions'!$K$4),'Drop Downs and Assumptions'!$L$4,IF('Event Dataset'!N458&gt;='Drop Downs and Assumptions'!$J$5,'Drop Downs and Assumptions'!$L$5,"")))))</f>
        <v/>
      </c>
      <c r="P458" s="109"/>
      <c r="Q458" s="97"/>
      <c r="R458" s="110"/>
      <c r="S458" s="111"/>
      <c r="T458" s="111"/>
      <c r="U458" s="111"/>
      <c r="V458" s="111"/>
      <c r="W458" s="111"/>
      <c r="X458" s="111"/>
      <c r="Y458" s="111"/>
      <c r="Z458" s="111"/>
      <c r="AA458" s="111"/>
      <c r="AB458" s="111"/>
      <c r="AC458" s="112"/>
      <c r="AD458" s="113" t="str">
        <f t="shared" si="57"/>
        <v/>
      </c>
      <c r="AE458" s="114" t="str">
        <f t="shared" si="58"/>
        <v/>
      </c>
      <c r="AF458" s="115" t="str">
        <f t="shared" si="59"/>
        <v/>
      </c>
      <c r="AG458" s="116" t="str">
        <f t="shared" si="60"/>
        <v/>
      </c>
    </row>
    <row r="459" spans="1:33" x14ac:dyDescent="0.25">
      <c r="A459" s="16">
        <f t="shared" si="61"/>
        <v>456</v>
      </c>
      <c r="B459" s="31" t="str">
        <f t="shared" si="62"/>
        <v/>
      </c>
      <c r="C459" s="66" t="str">
        <f t="shared" si="56"/>
        <v/>
      </c>
      <c r="D459" s="92"/>
      <c r="E459" s="93"/>
      <c r="F459" s="93"/>
      <c r="G459" s="93"/>
      <c r="H459" s="94"/>
      <c r="I459" s="93"/>
      <c r="J459" s="93"/>
      <c r="K459" s="93"/>
      <c r="L459" s="93"/>
      <c r="M459" s="93"/>
      <c r="N459" s="95"/>
      <c r="O459" s="95" t="str">
        <f>IF(N459="","",IF('Event Dataset'!N459&lt;='Drop Downs and Assumptions'!$K$2,'Drop Downs and Assumptions'!$L$2,IF(AND('Event Dataset'!N459&gt;='Drop Downs and Assumptions'!$J$3,'Event Dataset'!N459&lt;='Drop Downs and Assumptions'!$K$3),'Drop Downs and Assumptions'!$L$3,IF(AND('Event Dataset'!N459&gt;='Drop Downs and Assumptions'!$J$4,'Event Dataset'!N459&lt;='Drop Downs and Assumptions'!$K$4),'Drop Downs and Assumptions'!$L$4,IF('Event Dataset'!N459&gt;='Drop Downs and Assumptions'!$J$5,'Drop Downs and Assumptions'!$L$5,"")))))</f>
        <v/>
      </c>
      <c r="P459" s="96"/>
      <c r="Q459" s="97"/>
      <c r="R459" s="98"/>
      <c r="S459" s="99"/>
      <c r="T459" s="99"/>
      <c r="U459" s="99"/>
      <c r="V459" s="99"/>
      <c r="W459" s="99"/>
      <c r="X459" s="99"/>
      <c r="Y459" s="99"/>
      <c r="Z459" s="99"/>
      <c r="AA459" s="99"/>
      <c r="AB459" s="99"/>
      <c r="AC459" s="100"/>
      <c r="AD459" s="101" t="str">
        <f t="shared" si="57"/>
        <v/>
      </c>
      <c r="AE459" s="102" t="str">
        <f t="shared" si="58"/>
        <v/>
      </c>
      <c r="AF459" s="103" t="str">
        <f t="shared" si="59"/>
        <v/>
      </c>
      <c r="AG459" s="104" t="str">
        <f t="shared" si="60"/>
        <v/>
      </c>
    </row>
    <row r="460" spans="1:33" x14ac:dyDescent="0.25">
      <c r="A460" s="4">
        <f t="shared" si="61"/>
        <v>457</v>
      </c>
      <c r="B460" s="30" t="str">
        <f t="shared" si="62"/>
        <v/>
      </c>
      <c r="C460" s="67" t="str">
        <f t="shared" si="56"/>
        <v/>
      </c>
      <c r="D460" s="105"/>
      <c r="E460" s="106"/>
      <c r="F460" s="106"/>
      <c r="G460" s="106"/>
      <c r="H460" s="107"/>
      <c r="I460" s="106"/>
      <c r="J460" s="106"/>
      <c r="K460" s="106"/>
      <c r="L460" s="106"/>
      <c r="M460" s="106"/>
      <c r="N460" s="108"/>
      <c r="O460" s="108" t="str">
        <f>IF(N460="","",IF('Event Dataset'!N460&lt;='Drop Downs and Assumptions'!$K$2,'Drop Downs and Assumptions'!$L$2,IF(AND('Event Dataset'!N460&gt;='Drop Downs and Assumptions'!$J$3,'Event Dataset'!N460&lt;='Drop Downs and Assumptions'!$K$3),'Drop Downs and Assumptions'!$L$3,IF(AND('Event Dataset'!N460&gt;='Drop Downs and Assumptions'!$J$4,'Event Dataset'!N460&lt;='Drop Downs and Assumptions'!$K$4),'Drop Downs and Assumptions'!$L$4,IF('Event Dataset'!N460&gt;='Drop Downs and Assumptions'!$J$5,'Drop Downs and Assumptions'!$L$5,"")))))</f>
        <v/>
      </c>
      <c r="P460" s="109"/>
      <c r="Q460" s="97"/>
      <c r="R460" s="110"/>
      <c r="S460" s="111"/>
      <c r="T460" s="111"/>
      <c r="U460" s="111"/>
      <c r="V460" s="111"/>
      <c r="W460" s="111"/>
      <c r="X460" s="111"/>
      <c r="Y460" s="111"/>
      <c r="Z460" s="111"/>
      <c r="AA460" s="111"/>
      <c r="AB460" s="111"/>
      <c r="AC460" s="112"/>
      <c r="AD460" s="113" t="str">
        <f t="shared" si="57"/>
        <v/>
      </c>
      <c r="AE460" s="114" t="str">
        <f t="shared" si="58"/>
        <v/>
      </c>
      <c r="AF460" s="115" t="str">
        <f t="shared" si="59"/>
        <v/>
      </c>
      <c r="AG460" s="116" t="str">
        <f t="shared" si="60"/>
        <v/>
      </c>
    </row>
    <row r="461" spans="1:33" x14ac:dyDescent="0.25">
      <c r="A461" s="16">
        <f t="shared" si="61"/>
        <v>458</v>
      </c>
      <c r="B461" s="31" t="str">
        <f t="shared" si="62"/>
        <v/>
      </c>
      <c r="C461" s="66" t="str">
        <f t="shared" si="56"/>
        <v/>
      </c>
      <c r="D461" s="92"/>
      <c r="E461" s="93"/>
      <c r="F461" s="93"/>
      <c r="G461" s="93"/>
      <c r="H461" s="94"/>
      <c r="I461" s="93"/>
      <c r="J461" s="93"/>
      <c r="K461" s="93"/>
      <c r="L461" s="93"/>
      <c r="M461" s="93"/>
      <c r="N461" s="95"/>
      <c r="O461" s="95" t="str">
        <f>IF(N461="","",IF('Event Dataset'!N461&lt;='Drop Downs and Assumptions'!$K$2,'Drop Downs and Assumptions'!$L$2,IF(AND('Event Dataset'!N461&gt;='Drop Downs and Assumptions'!$J$3,'Event Dataset'!N461&lt;='Drop Downs and Assumptions'!$K$3),'Drop Downs and Assumptions'!$L$3,IF(AND('Event Dataset'!N461&gt;='Drop Downs and Assumptions'!$J$4,'Event Dataset'!N461&lt;='Drop Downs and Assumptions'!$K$4),'Drop Downs and Assumptions'!$L$4,IF('Event Dataset'!N461&gt;='Drop Downs and Assumptions'!$J$5,'Drop Downs and Assumptions'!$L$5,"")))))</f>
        <v/>
      </c>
      <c r="P461" s="96"/>
      <c r="Q461" s="97"/>
      <c r="R461" s="98"/>
      <c r="S461" s="99"/>
      <c r="T461" s="99"/>
      <c r="U461" s="99"/>
      <c r="V461" s="99"/>
      <c r="W461" s="99"/>
      <c r="X461" s="99"/>
      <c r="Y461" s="99"/>
      <c r="Z461" s="99"/>
      <c r="AA461" s="99"/>
      <c r="AB461" s="99"/>
      <c r="AC461" s="100"/>
      <c r="AD461" s="101" t="str">
        <f t="shared" si="57"/>
        <v/>
      </c>
      <c r="AE461" s="102" t="str">
        <f t="shared" si="58"/>
        <v/>
      </c>
      <c r="AF461" s="103" t="str">
        <f t="shared" si="59"/>
        <v/>
      </c>
      <c r="AG461" s="104" t="str">
        <f t="shared" si="60"/>
        <v/>
      </c>
    </row>
    <row r="462" spans="1:33" x14ac:dyDescent="0.25">
      <c r="A462" s="4">
        <f t="shared" si="61"/>
        <v>459</v>
      </c>
      <c r="B462" s="30" t="str">
        <f t="shared" si="62"/>
        <v/>
      </c>
      <c r="C462" s="67" t="str">
        <f t="shared" si="56"/>
        <v/>
      </c>
      <c r="D462" s="105"/>
      <c r="E462" s="106"/>
      <c r="F462" s="106"/>
      <c r="G462" s="106"/>
      <c r="H462" s="107"/>
      <c r="I462" s="106"/>
      <c r="J462" s="106"/>
      <c r="K462" s="106"/>
      <c r="L462" s="106"/>
      <c r="M462" s="106"/>
      <c r="N462" s="108"/>
      <c r="O462" s="108" t="str">
        <f>IF(N462="","",IF('Event Dataset'!N462&lt;='Drop Downs and Assumptions'!$K$2,'Drop Downs and Assumptions'!$L$2,IF(AND('Event Dataset'!N462&gt;='Drop Downs and Assumptions'!$J$3,'Event Dataset'!N462&lt;='Drop Downs and Assumptions'!$K$3),'Drop Downs and Assumptions'!$L$3,IF(AND('Event Dataset'!N462&gt;='Drop Downs and Assumptions'!$J$4,'Event Dataset'!N462&lt;='Drop Downs and Assumptions'!$K$4),'Drop Downs and Assumptions'!$L$4,IF('Event Dataset'!N462&gt;='Drop Downs and Assumptions'!$J$5,'Drop Downs and Assumptions'!$L$5,"")))))</f>
        <v/>
      </c>
      <c r="P462" s="109"/>
      <c r="Q462" s="97"/>
      <c r="R462" s="110"/>
      <c r="S462" s="111"/>
      <c r="T462" s="111"/>
      <c r="U462" s="111"/>
      <c r="V462" s="111"/>
      <c r="W462" s="111"/>
      <c r="X462" s="111"/>
      <c r="Y462" s="111"/>
      <c r="Z462" s="111"/>
      <c r="AA462" s="111"/>
      <c r="AB462" s="111"/>
      <c r="AC462" s="112"/>
      <c r="AD462" s="113" t="str">
        <f t="shared" si="57"/>
        <v/>
      </c>
      <c r="AE462" s="114" t="str">
        <f t="shared" si="58"/>
        <v/>
      </c>
      <c r="AF462" s="115" t="str">
        <f t="shared" si="59"/>
        <v/>
      </c>
      <c r="AG462" s="116" t="str">
        <f t="shared" si="60"/>
        <v/>
      </c>
    </row>
    <row r="463" spans="1:33" x14ac:dyDescent="0.25">
      <c r="A463" s="16">
        <f t="shared" si="61"/>
        <v>460</v>
      </c>
      <c r="B463" s="31" t="str">
        <f t="shared" si="62"/>
        <v/>
      </c>
      <c r="C463" s="66" t="str">
        <f t="shared" si="56"/>
        <v/>
      </c>
      <c r="D463" s="92"/>
      <c r="E463" s="93"/>
      <c r="F463" s="93"/>
      <c r="G463" s="93"/>
      <c r="H463" s="94"/>
      <c r="I463" s="93"/>
      <c r="J463" s="93"/>
      <c r="K463" s="93"/>
      <c r="L463" s="93"/>
      <c r="M463" s="93"/>
      <c r="N463" s="95"/>
      <c r="O463" s="95" t="str">
        <f>IF(N463="","",IF('Event Dataset'!N463&lt;='Drop Downs and Assumptions'!$K$2,'Drop Downs and Assumptions'!$L$2,IF(AND('Event Dataset'!N463&gt;='Drop Downs and Assumptions'!$J$3,'Event Dataset'!N463&lt;='Drop Downs and Assumptions'!$K$3),'Drop Downs and Assumptions'!$L$3,IF(AND('Event Dataset'!N463&gt;='Drop Downs and Assumptions'!$J$4,'Event Dataset'!N463&lt;='Drop Downs and Assumptions'!$K$4),'Drop Downs and Assumptions'!$L$4,IF('Event Dataset'!N463&gt;='Drop Downs and Assumptions'!$J$5,'Drop Downs and Assumptions'!$L$5,"")))))</f>
        <v/>
      </c>
      <c r="P463" s="96"/>
      <c r="Q463" s="97"/>
      <c r="R463" s="98"/>
      <c r="S463" s="99"/>
      <c r="T463" s="99"/>
      <c r="U463" s="99"/>
      <c r="V463" s="99"/>
      <c r="W463" s="99"/>
      <c r="X463" s="99"/>
      <c r="Y463" s="99"/>
      <c r="Z463" s="99"/>
      <c r="AA463" s="99"/>
      <c r="AB463" s="99"/>
      <c r="AC463" s="100"/>
      <c r="AD463" s="101" t="str">
        <f t="shared" si="57"/>
        <v/>
      </c>
      <c r="AE463" s="102" t="str">
        <f t="shared" si="58"/>
        <v/>
      </c>
      <c r="AF463" s="103" t="str">
        <f t="shared" si="59"/>
        <v/>
      </c>
      <c r="AG463" s="104" t="str">
        <f t="shared" si="60"/>
        <v/>
      </c>
    </row>
    <row r="464" spans="1:33" x14ac:dyDescent="0.25">
      <c r="A464" s="4">
        <f t="shared" si="61"/>
        <v>461</v>
      </c>
      <c r="B464" s="30" t="str">
        <f t="shared" si="62"/>
        <v/>
      </c>
      <c r="C464" s="67" t="str">
        <f t="shared" si="56"/>
        <v/>
      </c>
      <c r="D464" s="105"/>
      <c r="E464" s="106"/>
      <c r="F464" s="106"/>
      <c r="G464" s="106"/>
      <c r="H464" s="107"/>
      <c r="I464" s="106"/>
      <c r="J464" s="106"/>
      <c r="K464" s="106"/>
      <c r="L464" s="106"/>
      <c r="M464" s="106"/>
      <c r="N464" s="108"/>
      <c r="O464" s="108" t="str">
        <f>IF(N464="","",IF('Event Dataset'!N464&lt;='Drop Downs and Assumptions'!$K$2,'Drop Downs and Assumptions'!$L$2,IF(AND('Event Dataset'!N464&gt;='Drop Downs and Assumptions'!$J$3,'Event Dataset'!N464&lt;='Drop Downs and Assumptions'!$K$3),'Drop Downs and Assumptions'!$L$3,IF(AND('Event Dataset'!N464&gt;='Drop Downs and Assumptions'!$J$4,'Event Dataset'!N464&lt;='Drop Downs and Assumptions'!$K$4),'Drop Downs and Assumptions'!$L$4,IF('Event Dataset'!N464&gt;='Drop Downs and Assumptions'!$J$5,'Drop Downs and Assumptions'!$L$5,"")))))</f>
        <v/>
      </c>
      <c r="P464" s="109"/>
      <c r="Q464" s="97"/>
      <c r="R464" s="110"/>
      <c r="S464" s="111"/>
      <c r="T464" s="111"/>
      <c r="U464" s="111"/>
      <c r="V464" s="111"/>
      <c r="W464" s="111"/>
      <c r="X464" s="111"/>
      <c r="Y464" s="111"/>
      <c r="Z464" s="111"/>
      <c r="AA464" s="111"/>
      <c r="AB464" s="111"/>
      <c r="AC464" s="112"/>
      <c r="AD464" s="113" t="str">
        <f t="shared" si="57"/>
        <v/>
      </c>
      <c r="AE464" s="114" t="str">
        <f t="shared" si="58"/>
        <v/>
      </c>
      <c r="AF464" s="115" t="str">
        <f t="shared" si="59"/>
        <v/>
      </c>
      <c r="AG464" s="116" t="str">
        <f t="shared" si="60"/>
        <v/>
      </c>
    </row>
    <row r="465" spans="1:33" x14ac:dyDescent="0.25">
      <c r="A465" s="16">
        <f t="shared" si="61"/>
        <v>462</v>
      </c>
      <c r="B465" s="31" t="str">
        <f t="shared" si="62"/>
        <v/>
      </c>
      <c r="C465" s="66" t="str">
        <f t="shared" si="56"/>
        <v/>
      </c>
      <c r="D465" s="92"/>
      <c r="E465" s="93"/>
      <c r="F465" s="93"/>
      <c r="G465" s="93"/>
      <c r="H465" s="94"/>
      <c r="I465" s="93"/>
      <c r="J465" s="93"/>
      <c r="K465" s="93"/>
      <c r="L465" s="93"/>
      <c r="M465" s="93"/>
      <c r="N465" s="95"/>
      <c r="O465" s="95" t="str">
        <f>IF(N465="","",IF('Event Dataset'!N465&lt;='Drop Downs and Assumptions'!$K$2,'Drop Downs and Assumptions'!$L$2,IF(AND('Event Dataset'!N465&gt;='Drop Downs and Assumptions'!$J$3,'Event Dataset'!N465&lt;='Drop Downs and Assumptions'!$K$3),'Drop Downs and Assumptions'!$L$3,IF(AND('Event Dataset'!N465&gt;='Drop Downs and Assumptions'!$J$4,'Event Dataset'!N465&lt;='Drop Downs and Assumptions'!$K$4),'Drop Downs and Assumptions'!$L$4,IF('Event Dataset'!N465&gt;='Drop Downs and Assumptions'!$J$5,'Drop Downs and Assumptions'!$L$5,"")))))</f>
        <v/>
      </c>
      <c r="P465" s="96"/>
      <c r="Q465" s="97"/>
      <c r="R465" s="98"/>
      <c r="S465" s="99"/>
      <c r="T465" s="99"/>
      <c r="U465" s="99"/>
      <c r="V465" s="99"/>
      <c r="W465" s="99"/>
      <c r="X465" s="99"/>
      <c r="Y465" s="99"/>
      <c r="Z465" s="99"/>
      <c r="AA465" s="99"/>
      <c r="AB465" s="99"/>
      <c r="AC465" s="100"/>
      <c r="AD465" s="101" t="str">
        <f t="shared" si="57"/>
        <v/>
      </c>
      <c r="AE465" s="102" t="str">
        <f t="shared" si="58"/>
        <v/>
      </c>
      <c r="AF465" s="103" t="str">
        <f t="shared" si="59"/>
        <v/>
      </c>
      <c r="AG465" s="104" t="str">
        <f t="shared" si="60"/>
        <v/>
      </c>
    </row>
    <row r="466" spans="1:33" x14ac:dyDescent="0.25">
      <c r="A466" s="4">
        <f t="shared" si="61"/>
        <v>463</v>
      </c>
      <c r="B466" s="30" t="str">
        <f t="shared" si="62"/>
        <v/>
      </c>
      <c r="C466" s="67" t="str">
        <f t="shared" si="56"/>
        <v/>
      </c>
      <c r="D466" s="105"/>
      <c r="E466" s="106"/>
      <c r="F466" s="106"/>
      <c r="G466" s="106"/>
      <c r="H466" s="107"/>
      <c r="I466" s="106"/>
      <c r="J466" s="106"/>
      <c r="K466" s="106"/>
      <c r="L466" s="106"/>
      <c r="M466" s="106"/>
      <c r="N466" s="108"/>
      <c r="O466" s="108" t="str">
        <f>IF(N466="","",IF('Event Dataset'!N466&lt;='Drop Downs and Assumptions'!$K$2,'Drop Downs and Assumptions'!$L$2,IF(AND('Event Dataset'!N466&gt;='Drop Downs and Assumptions'!$J$3,'Event Dataset'!N466&lt;='Drop Downs and Assumptions'!$K$3),'Drop Downs and Assumptions'!$L$3,IF(AND('Event Dataset'!N466&gt;='Drop Downs and Assumptions'!$J$4,'Event Dataset'!N466&lt;='Drop Downs and Assumptions'!$K$4),'Drop Downs and Assumptions'!$L$4,IF('Event Dataset'!N466&gt;='Drop Downs and Assumptions'!$J$5,'Drop Downs and Assumptions'!$L$5,"")))))</f>
        <v/>
      </c>
      <c r="P466" s="109"/>
      <c r="Q466" s="97"/>
      <c r="R466" s="110"/>
      <c r="S466" s="111"/>
      <c r="T466" s="111"/>
      <c r="U466" s="111"/>
      <c r="V466" s="111"/>
      <c r="W466" s="111"/>
      <c r="X466" s="111"/>
      <c r="Y466" s="111"/>
      <c r="Z466" s="111"/>
      <c r="AA466" s="111"/>
      <c r="AB466" s="111"/>
      <c r="AC466" s="112"/>
      <c r="AD466" s="113" t="str">
        <f t="shared" si="57"/>
        <v/>
      </c>
      <c r="AE466" s="114" t="str">
        <f t="shared" si="58"/>
        <v/>
      </c>
      <c r="AF466" s="115" t="str">
        <f t="shared" si="59"/>
        <v/>
      </c>
      <c r="AG466" s="116" t="str">
        <f t="shared" si="60"/>
        <v/>
      </c>
    </row>
    <row r="467" spans="1:33" x14ac:dyDescent="0.25">
      <c r="A467" s="16">
        <f t="shared" si="61"/>
        <v>464</v>
      </c>
      <c r="B467" s="31" t="str">
        <f t="shared" si="62"/>
        <v/>
      </c>
      <c r="C467" s="66" t="str">
        <f t="shared" si="56"/>
        <v/>
      </c>
      <c r="D467" s="92"/>
      <c r="E467" s="93"/>
      <c r="F467" s="93"/>
      <c r="G467" s="93"/>
      <c r="H467" s="94"/>
      <c r="I467" s="93"/>
      <c r="J467" s="93"/>
      <c r="K467" s="93"/>
      <c r="L467" s="93"/>
      <c r="M467" s="93"/>
      <c r="N467" s="95"/>
      <c r="O467" s="95" t="str">
        <f>IF(N467="","",IF('Event Dataset'!N467&lt;='Drop Downs and Assumptions'!$K$2,'Drop Downs and Assumptions'!$L$2,IF(AND('Event Dataset'!N467&gt;='Drop Downs and Assumptions'!$J$3,'Event Dataset'!N467&lt;='Drop Downs and Assumptions'!$K$3),'Drop Downs and Assumptions'!$L$3,IF(AND('Event Dataset'!N467&gt;='Drop Downs and Assumptions'!$J$4,'Event Dataset'!N467&lt;='Drop Downs and Assumptions'!$K$4),'Drop Downs and Assumptions'!$L$4,IF('Event Dataset'!N467&gt;='Drop Downs and Assumptions'!$J$5,'Drop Downs and Assumptions'!$L$5,"")))))</f>
        <v/>
      </c>
      <c r="P467" s="96"/>
      <c r="Q467" s="97"/>
      <c r="R467" s="98"/>
      <c r="S467" s="99"/>
      <c r="T467" s="99"/>
      <c r="U467" s="99"/>
      <c r="V467" s="99"/>
      <c r="W467" s="99"/>
      <c r="X467" s="99"/>
      <c r="Y467" s="99"/>
      <c r="Z467" s="99"/>
      <c r="AA467" s="99"/>
      <c r="AB467" s="99"/>
      <c r="AC467" s="100"/>
      <c r="AD467" s="101" t="str">
        <f t="shared" si="57"/>
        <v/>
      </c>
      <c r="AE467" s="102" t="str">
        <f t="shared" si="58"/>
        <v/>
      </c>
      <c r="AF467" s="103" t="str">
        <f t="shared" si="59"/>
        <v/>
      </c>
      <c r="AG467" s="104" t="str">
        <f t="shared" si="60"/>
        <v/>
      </c>
    </row>
    <row r="468" spans="1:33" x14ac:dyDescent="0.25">
      <c r="A468" s="4">
        <f t="shared" si="61"/>
        <v>465</v>
      </c>
      <c r="B468" s="30" t="str">
        <f t="shared" si="62"/>
        <v/>
      </c>
      <c r="C468" s="67" t="str">
        <f t="shared" si="56"/>
        <v/>
      </c>
      <c r="D468" s="105"/>
      <c r="E468" s="106"/>
      <c r="F468" s="106"/>
      <c r="G468" s="106"/>
      <c r="H468" s="107"/>
      <c r="I468" s="106"/>
      <c r="J468" s="106"/>
      <c r="K468" s="106"/>
      <c r="L468" s="106"/>
      <c r="M468" s="106"/>
      <c r="N468" s="108"/>
      <c r="O468" s="108" t="str">
        <f>IF(N468="","",IF('Event Dataset'!N468&lt;='Drop Downs and Assumptions'!$K$2,'Drop Downs and Assumptions'!$L$2,IF(AND('Event Dataset'!N468&gt;='Drop Downs and Assumptions'!$J$3,'Event Dataset'!N468&lt;='Drop Downs and Assumptions'!$K$3),'Drop Downs and Assumptions'!$L$3,IF(AND('Event Dataset'!N468&gt;='Drop Downs and Assumptions'!$J$4,'Event Dataset'!N468&lt;='Drop Downs and Assumptions'!$K$4),'Drop Downs and Assumptions'!$L$4,IF('Event Dataset'!N468&gt;='Drop Downs and Assumptions'!$J$5,'Drop Downs and Assumptions'!$L$5,"")))))</f>
        <v/>
      </c>
      <c r="P468" s="109"/>
      <c r="Q468" s="97"/>
      <c r="R468" s="110"/>
      <c r="S468" s="111"/>
      <c r="T468" s="111"/>
      <c r="U468" s="111"/>
      <c r="V468" s="111"/>
      <c r="W468" s="111"/>
      <c r="X468" s="111"/>
      <c r="Y468" s="111"/>
      <c r="Z468" s="111"/>
      <c r="AA468" s="111"/>
      <c r="AB468" s="111"/>
      <c r="AC468" s="112"/>
      <c r="AD468" s="113" t="str">
        <f t="shared" si="57"/>
        <v/>
      </c>
      <c r="AE468" s="114" t="str">
        <f t="shared" si="58"/>
        <v/>
      </c>
      <c r="AF468" s="115" t="str">
        <f t="shared" si="59"/>
        <v/>
      </c>
      <c r="AG468" s="116" t="str">
        <f t="shared" si="60"/>
        <v/>
      </c>
    </row>
    <row r="469" spans="1:33" x14ac:dyDescent="0.25">
      <c r="A469" s="16">
        <f t="shared" si="61"/>
        <v>466</v>
      </c>
      <c r="B469" s="31" t="str">
        <f t="shared" si="62"/>
        <v/>
      </c>
      <c r="C469" s="66" t="str">
        <f t="shared" si="56"/>
        <v/>
      </c>
      <c r="D469" s="92"/>
      <c r="E469" s="93"/>
      <c r="F469" s="93"/>
      <c r="G469" s="93"/>
      <c r="H469" s="94"/>
      <c r="I469" s="93"/>
      <c r="J469" s="93"/>
      <c r="K469" s="93"/>
      <c r="L469" s="93"/>
      <c r="M469" s="93"/>
      <c r="N469" s="95"/>
      <c r="O469" s="95" t="str">
        <f>IF(N469="","",IF('Event Dataset'!N469&lt;='Drop Downs and Assumptions'!$K$2,'Drop Downs and Assumptions'!$L$2,IF(AND('Event Dataset'!N469&gt;='Drop Downs and Assumptions'!$J$3,'Event Dataset'!N469&lt;='Drop Downs and Assumptions'!$K$3),'Drop Downs and Assumptions'!$L$3,IF(AND('Event Dataset'!N469&gt;='Drop Downs and Assumptions'!$J$4,'Event Dataset'!N469&lt;='Drop Downs and Assumptions'!$K$4),'Drop Downs and Assumptions'!$L$4,IF('Event Dataset'!N469&gt;='Drop Downs and Assumptions'!$J$5,'Drop Downs and Assumptions'!$L$5,"")))))</f>
        <v/>
      </c>
      <c r="P469" s="96"/>
      <c r="Q469" s="97"/>
      <c r="R469" s="98"/>
      <c r="S469" s="99"/>
      <c r="T469" s="99"/>
      <c r="U469" s="99"/>
      <c r="V469" s="99"/>
      <c r="W469" s="99"/>
      <c r="X469" s="99"/>
      <c r="Y469" s="99"/>
      <c r="Z469" s="99"/>
      <c r="AA469" s="99"/>
      <c r="AB469" s="99"/>
      <c r="AC469" s="100"/>
      <c r="AD469" s="101" t="str">
        <f t="shared" si="57"/>
        <v/>
      </c>
      <c r="AE469" s="102" t="str">
        <f t="shared" si="58"/>
        <v/>
      </c>
      <c r="AF469" s="103" t="str">
        <f t="shared" si="59"/>
        <v/>
      </c>
      <c r="AG469" s="104" t="str">
        <f t="shared" si="60"/>
        <v/>
      </c>
    </row>
    <row r="470" spans="1:33" ht="15.75" thickBot="1" x14ac:dyDescent="0.3">
      <c r="A470" s="4">
        <f t="shared" si="61"/>
        <v>467</v>
      </c>
      <c r="B470" s="30" t="str">
        <f t="shared" si="62"/>
        <v/>
      </c>
      <c r="C470" s="67" t="str">
        <f t="shared" si="56"/>
        <v/>
      </c>
      <c r="D470" s="105"/>
      <c r="E470" s="106"/>
      <c r="F470" s="106"/>
      <c r="G470" s="106"/>
      <c r="H470" s="107"/>
      <c r="I470" s="106"/>
      <c r="J470" s="106"/>
      <c r="K470" s="106"/>
      <c r="L470" s="106"/>
      <c r="M470" s="106"/>
      <c r="N470" s="108"/>
      <c r="O470" s="108" t="str">
        <f>IF(N470="","",IF('Event Dataset'!N470&lt;='Drop Downs and Assumptions'!$K$2,'Drop Downs and Assumptions'!$L$2,IF(AND('Event Dataset'!N470&gt;='Drop Downs and Assumptions'!$J$3,'Event Dataset'!N470&lt;='Drop Downs and Assumptions'!$K$3),'Drop Downs and Assumptions'!$L$3,IF(AND('Event Dataset'!N470&gt;='Drop Downs and Assumptions'!$J$4,'Event Dataset'!N470&lt;='Drop Downs and Assumptions'!$K$4),'Drop Downs and Assumptions'!$L$4,IF('Event Dataset'!N470&gt;='Drop Downs and Assumptions'!$J$5,'Drop Downs and Assumptions'!$L$5,"")))))</f>
        <v/>
      </c>
      <c r="P470" s="109"/>
      <c r="Q470" s="97"/>
      <c r="R470" s="110"/>
      <c r="S470" s="111"/>
      <c r="T470" s="111"/>
      <c r="U470" s="111"/>
      <c r="V470" s="111"/>
      <c r="W470" s="111"/>
      <c r="X470" s="111"/>
      <c r="Y470" s="111"/>
      <c r="Z470" s="111"/>
      <c r="AA470" s="111"/>
      <c r="AB470" s="111"/>
      <c r="AC470" s="112"/>
      <c r="AD470" s="113" t="str">
        <f t="shared" si="57"/>
        <v/>
      </c>
      <c r="AE470" s="114" t="str">
        <f t="shared" si="58"/>
        <v/>
      </c>
      <c r="AF470" s="115" t="str">
        <f t="shared" si="59"/>
        <v/>
      </c>
      <c r="AG470" s="116" t="str">
        <f t="shared" si="60"/>
        <v/>
      </c>
    </row>
    <row r="471" spans="1:33" s="58" customFormat="1" ht="15.75" thickTop="1" x14ac:dyDescent="0.25">
      <c r="D471" s="62"/>
      <c r="AD471" s="59"/>
      <c r="AE471" s="60"/>
      <c r="AF471" s="59"/>
      <c r="AG471" s="59"/>
    </row>
  </sheetData>
  <sheetProtection selectLockedCells="1"/>
  <autoFilter ref="A3:AG3"/>
  <mergeCells count="20">
    <mergeCell ref="AG1:AG3"/>
    <mergeCell ref="AF1:AF3"/>
    <mergeCell ref="AE1:AE3"/>
    <mergeCell ref="AD1:AD3"/>
    <mergeCell ref="F1:F3"/>
    <mergeCell ref="O1:O3"/>
    <mergeCell ref="K1:K3"/>
    <mergeCell ref="B1:B3"/>
    <mergeCell ref="A1:A3"/>
    <mergeCell ref="C1:C3"/>
    <mergeCell ref="P1:P3"/>
    <mergeCell ref="N1:N3"/>
    <mergeCell ref="M1:M3"/>
    <mergeCell ref="L1:L3"/>
    <mergeCell ref="E1:E3"/>
    <mergeCell ref="D1:D3"/>
    <mergeCell ref="J1:J3"/>
    <mergeCell ref="I1:I3"/>
    <mergeCell ref="H1:H3"/>
    <mergeCell ref="G1:G3"/>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'Drop Downs and Assumptions'!$R$2:$R$3</xm:f>
          </x14:formula1>
          <xm:sqref>K4:K470</xm:sqref>
        </x14:dataValidation>
        <x14:dataValidation type="list" allowBlank="1" showInputMessage="1" showErrorMessage="1">
          <x14:formula1>
            <xm:f>'Drop Downs and Assumptions'!$N$2:$N$4</xm:f>
          </x14:formula1>
          <xm:sqref>J4:J470</xm:sqref>
        </x14:dataValidation>
        <x14:dataValidation type="list" allowBlank="1" showInputMessage="1" showErrorMessage="1">
          <x14:formula1>
            <xm:f>'Drop Downs and Assumptions'!$P$2:$P$4</xm:f>
          </x14:formula1>
          <xm:sqref>I4:I470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
  <sheetViews>
    <sheetView workbookViewId="0">
      <selection activeCell="I6" sqref="I6"/>
    </sheetView>
  </sheetViews>
  <sheetFormatPr defaultRowHeight="15" x14ac:dyDescent="0.25"/>
  <cols>
    <col min="1" max="1" width="41.28515625" customWidth="1"/>
    <col min="2" max="2" width="22.28515625" customWidth="1"/>
    <col min="7" max="7" width="28.85546875" customWidth="1"/>
    <col min="8" max="8" width="25.28515625" customWidth="1"/>
    <col min="9" max="9" width="2.7109375" bestFit="1" customWidth="1"/>
    <col min="10" max="12" width="17.140625" customWidth="1"/>
  </cols>
  <sheetData>
    <row r="1" spans="1:13" ht="16.5" x14ac:dyDescent="0.3">
      <c r="A1" s="40" t="s">
        <v>217</v>
      </c>
      <c r="B1" s="40"/>
      <c r="C1" s="40"/>
      <c r="D1" s="40"/>
      <c r="E1" s="40"/>
      <c r="G1" s="47" t="s">
        <v>119</v>
      </c>
      <c r="H1" s="47" t="s">
        <v>120</v>
      </c>
      <c r="I1" s="47" t="s">
        <v>122</v>
      </c>
      <c r="J1" s="47">
        <v>1</v>
      </c>
      <c r="K1" s="47">
        <v>2</v>
      </c>
      <c r="L1" s="47">
        <v>3</v>
      </c>
      <c r="M1" s="47" t="s">
        <v>93</v>
      </c>
    </row>
    <row r="2" spans="1:13" x14ac:dyDescent="0.25">
      <c r="C2" s="683" t="s">
        <v>63</v>
      </c>
      <c r="D2" s="683"/>
      <c r="E2" s="683"/>
      <c r="G2" s="48" t="s">
        <v>90</v>
      </c>
      <c r="H2" s="48" t="s">
        <v>15</v>
      </c>
      <c r="I2" s="48">
        <v>19</v>
      </c>
      <c r="J2" s="64">
        <f>VLOOKUP(J$1,'Event Dataset'!$B:$AE,'Better practice vs typical'!$I2,FALSE)/VLOOKUP(J$1,'Event Dataset'!$B:$AE,29,FALSE)</f>
        <v>0.35772870662460565</v>
      </c>
      <c r="K2" s="64">
        <f>VLOOKUP(K$1,'Event Dataset'!$B:$AE,'Better practice vs typical'!$I2,FALSE)/VLOOKUP(K$1,'Event Dataset'!$B:$AE,29,FALSE)</f>
        <v>0.47267355982274745</v>
      </c>
      <c r="L2" s="64">
        <f>VLOOKUP(L$1,'Event Dataset'!$B:$AE,'Better practice vs typical'!$I2,FALSE)/VLOOKUP(L$1,'Event Dataset'!$B:$AE,29,FALSE)</f>
        <v>0.55865921787709494</v>
      </c>
      <c r="M2" s="63">
        <f>AVERAGE(J2:L2)</f>
        <v>0.46302049477481599</v>
      </c>
    </row>
    <row r="3" spans="1:13" x14ac:dyDescent="0.25">
      <c r="B3" s="19" t="s">
        <v>49</v>
      </c>
      <c r="C3" s="2">
        <v>1</v>
      </c>
      <c r="D3" s="2">
        <v>2</v>
      </c>
      <c r="E3" s="2">
        <v>3</v>
      </c>
      <c r="G3" s="48" t="s">
        <v>307</v>
      </c>
      <c r="H3" s="48" t="s">
        <v>15</v>
      </c>
      <c r="I3" s="48">
        <v>21</v>
      </c>
      <c r="J3" s="64">
        <f>VLOOKUP(J$1,'Event Dataset'!$B:$AE,'Better practice vs typical'!$I3,FALSE)/VLOOKUP(J$1,'Event Dataset'!$B:$AE,29,FALSE)</f>
        <v>0.2750788643533123</v>
      </c>
      <c r="K3" s="64">
        <f>VLOOKUP(K$1,'Event Dataset'!$B:$AE,'Better practice vs typical'!$I3,FALSE)/VLOOKUP(K$1,'Event Dataset'!$B:$AE,29,FALSE)</f>
        <v>0.22667878650153389</v>
      </c>
      <c r="L3" s="64">
        <f>VLOOKUP(L$1,'Event Dataset'!$B:$AE,'Better practice vs typical'!$I3,FALSE)/VLOOKUP(L$1,'Event Dataset'!$B:$AE,29,FALSE)</f>
        <v>0</v>
      </c>
      <c r="M3" s="63">
        <f t="shared" ref="M3:M9" si="0">AVERAGE(J3:L3)</f>
        <v>0.16725255028494876</v>
      </c>
    </row>
    <row r="4" spans="1:13" x14ac:dyDescent="0.25">
      <c r="A4" s="18" t="s">
        <v>24</v>
      </c>
      <c r="B4" s="22">
        <f>AVERAGE(C4:E4)</f>
        <v>6.8872121710526313E-2</v>
      </c>
      <c r="C4" s="21">
        <f>SMALL('Event Dataset'!$AG:$AG,'Better practice vs typical'!C$3)</f>
        <v>5.8195312499999992E-2</v>
      </c>
      <c r="D4" s="158">
        <f>SMALL('Event Dataset'!$AG:$AG,'Better practice vs typical'!D$3)</f>
        <v>6.4999999999999988E-2</v>
      </c>
      <c r="E4" s="158">
        <f>SMALL('Event Dataset'!$AG:$AG,'Better practice vs typical'!E$3)</f>
        <v>8.3421052631578951E-2</v>
      </c>
      <c r="G4" s="48" t="s">
        <v>3</v>
      </c>
      <c r="H4" s="48" t="s">
        <v>15</v>
      </c>
      <c r="I4" s="48">
        <v>20</v>
      </c>
      <c r="J4" s="64">
        <f>VLOOKUP(J$1,'Event Dataset'!$B:$AE,'Better practice vs typical'!$I4,FALSE)/VLOOKUP(J$1,'Event Dataset'!$B:$AE,29,FALSE)</f>
        <v>0</v>
      </c>
      <c r="K4" s="64">
        <f>VLOOKUP(K$1,'Event Dataset'!$B:$AE,'Better practice vs typical'!$I4,FALSE)/VLOOKUP(K$1,'Event Dataset'!$B:$AE,29,FALSE)</f>
        <v>0</v>
      </c>
      <c r="L4" s="64">
        <f>VLOOKUP(L$1,'Event Dataset'!$B:$AE,'Better practice vs typical'!$I4,FALSE)/VLOOKUP(L$1,'Event Dataset'!$B:$AE,29,FALSE)</f>
        <v>0.23463687150837986</v>
      </c>
      <c r="M4" s="63">
        <f t="shared" si="0"/>
        <v>7.8212290502793283E-2</v>
      </c>
    </row>
    <row r="5" spans="1:13" x14ac:dyDescent="0.25">
      <c r="A5" s="20" t="s">
        <v>21</v>
      </c>
      <c r="B5" s="15">
        <f>AVERAGE(C5:E5)</f>
        <v>0.98436397723854085</v>
      </c>
      <c r="C5" s="3">
        <f>LARGE('Event Dataset'!$AE:$AE,'Better practice vs typical'!C$3)</f>
        <v>0.99019912881144978</v>
      </c>
      <c r="D5" s="157">
        <f>LARGE('Event Dataset'!$AE:$AE,'Better practice vs typical'!D$3)</f>
        <v>0.98182024769912524</v>
      </c>
      <c r="E5" s="157">
        <f>LARGE('Event Dataset'!$AE:$AE,'Better practice vs typical'!E$3)</f>
        <v>0.98107255520504744</v>
      </c>
      <c r="G5" s="48" t="s">
        <v>0</v>
      </c>
      <c r="H5" s="48" t="s">
        <v>15</v>
      </c>
      <c r="I5" s="48">
        <v>22</v>
      </c>
      <c r="J5" s="64">
        <f>VLOOKUP(J$1,'Event Dataset'!$B:$AE,'Better practice vs typical'!$I5,FALSE)/VLOOKUP(J$1,'Event Dataset'!$B:$AE,29,FALSE)</f>
        <v>0.27003154574132493</v>
      </c>
      <c r="K5" s="64">
        <f>VLOOKUP(K$1,'Event Dataset'!$B:$AE,'Better practice vs typical'!$I5,FALSE)/VLOOKUP(K$1,'Event Dataset'!$B:$AE,29,FALSE)</f>
        <v>0.18691057834337008</v>
      </c>
      <c r="L5" s="64">
        <f>VLOOKUP(L$1,'Event Dataset'!$B:$AE,'Better practice vs typical'!$I5,FALSE)/VLOOKUP(L$1,'Event Dataset'!$B:$AE,29,FALSE)</f>
        <v>0</v>
      </c>
      <c r="M5" s="63">
        <f t="shared" si="0"/>
        <v>0.15231404136156501</v>
      </c>
    </row>
    <row r="6" spans="1:13" x14ac:dyDescent="0.25">
      <c r="A6" s="17" t="s">
        <v>13</v>
      </c>
      <c r="B6" s="15">
        <f>AVERAGE(C6:E6)</f>
        <v>0.86102662382788397</v>
      </c>
      <c r="C6" s="3">
        <f>LARGE('Event Dataset'!$AF:$AF,'Better practice vs typical'!C$3)</f>
        <v>0.902839116719243</v>
      </c>
      <c r="D6" s="157">
        <f>LARGE('Event Dataset'!$AF:$AF,'Better practice vs typical'!D$3)</f>
        <v>0.88694466537893435</v>
      </c>
      <c r="E6" s="157">
        <f>LARGE('Event Dataset'!$AF:$AF,'Better practice vs typical'!E$3)</f>
        <v>0.7932960893854748</v>
      </c>
      <c r="G6" s="48" t="s">
        <v>72</v>
      </c>
      <c r="H6" s="48" t="s">
        <v>15</v>
      </c>
      <c r="I6" s="48">
        <v>23</v>
      </c>
      <c r="J6" s="64">
        <f>VLOOKUP(J$1,'Event Dataset'!$B:$AE,'Better practice vs typical'!$I6,FALSE)/VLOOKUP(J$1,'Event Dataset'!$B:$AE,29,FALSE)</f>
        <v>0</v>
      </c>
      <c r="K6" s="64">
        <f>VLOOKUP(K$1,'Event Dataset'!$B:$AE,'Better practice vs typical'!$I6,FALSE)/VLOOKUP(K$1,'Event Dataset'!$B:$AE,29,FALSE)</f>
        <v>0</v>
      </c>
      <c r="L6" s="64">
        <f>VLOOKUP(L$1,'Event Dataset'!$B:$AE,'Better practice vs typical'!$I6,FALSE)/VLOOKUP(L$1,'Event Dataset'!$B:$AE,29,FALSE)</f>
        <v>0</v>
      </c>
      <c r="M6" s="63">
        <f t="shared" si="0"/>
        <v>0</v>
      </c>
    </row>
    <row r="7" spans="1:13" x14ac:dyDescent="0.25">
      <c r="G7" s="48" t="s">
        <v>71</v>
      </c>
      <c r="H7" s="48" t="s">
        <v>15</v>
      </c>
      <c r="I7" s="48">
        <v>24</v>
      </c>
      <c r="J7" s="64">
        <f>VLOOKUP(J$1,'Event Dataset'!$B:$AE,'Better practice vs typical'!$I7,FALSE)/VLOOKUP(J$1,'Event Dataset'!$B:$AE,29,FALSE)</f>
        <v>0</v>
      </c>
      <c r="K7" s="64">
        <f>VLOOKUP(K$1,'Event Dataset'!$B:$AE,'Better practice vs typical'!$I7,FALSE)/VLOOKUP(K$1,'Event Dataset'!$B:$AE,29,FALSE)</f>
        <v>3.4087035564140441E-4</v>
      </c>
      <c r="L7" s="64">
        <f>VLOOKUP(L$1,'Event Dataset'!$B:$AE,'Better practice vs typical'!$I7,FALSE)/VLOOKUP(L$1,'Event Dataset'!$B:$AE,29,FALSE)</f>
        <v>0</v>
      </c>
      <c r="M7" s="63">
        <f t="shared" si="0"/>
        <v>1.1362345188046814E-4</v>
      </c>
    </row>
    <row r="8" spans="1:13" x14ac:dyDescent="0.25">
      <c r="G8" s="48" t="s">
        <v>2</v>
      </c>
      <c r="H8" s="48" t="s">
        <v>53</v>
      </c>
      <c r="I8" s="48">
        <v>18</v>
      </c>
      <c r="J8" s="64">
        <f>VLOOKUP(J$1,'Event Dataset'!$B:$AE,'Better practice vs typical'!$I8,FALSE)/VLOOKUP(J$1,'Event Dataset'!$B:$AE,29,FALSE)</f>
        <v>7.8233438485804413E-2</v>
      </c>
      <c r="K8" s="64">
        <f>VLOOKUP(K$1,'Event Dataset'!$B:$AE,'Better practice vs typical'!$I8,FALSE)/VLOOKUP(K$1,'Event Dataset'!$B:$AE,29,FALSE)</f>
        <v>9.4875582320190888E-2</v>
      </c>
      <c r="L8" s="64">
        <f>VLOOKUP(L$1,'Event Dataset'!$B:$AE,'Better practice vs typical'!$I8,FALSE)/VLOOKUP(L$1,'Event Dataset'!$B:$AE,29,FALSE)</f>
        <v>0</v>
      </c>
      <c r="M8" s="63">
        <f t="shared" si="0"/>
        <v>5.7703006935331765E-2</v>
      </c>
    </row>
    <row r="9" spans="1:13" x14ac:dyDescent="0.25">
      <c r="G9" s="48" t="s">
        <v>1</v>
      </c>
      <c r="H9" s="48" t="s">
        <v>14</v>
      </c>
      <c r="I9" s="48">
        <v>17</v>
      </c>
      <c r="J9" s="64">
        <f>VLOOKUP(J$1,'Event Dataset'!$B:$AE,'Better practice vs typical'!$I9,FALSE)/VLOOKUP(J$1,'Event Dataset'!$B:$AE,29,FALSE)</f>
        <v>1.8927444794952678E-2</v>
      </c>
      <c r="K9" s="64">
        <f>VLOOKUP(K$1,'Event Dataset'!$B:$AE,'Better practice vs typical'!$I9,FALSE)/VLOOKUP(K$1,'Event Dataset'!$B:$AE,29,FALSE)</f>
        <v>1.8179752300874902E-2</v>
      </c>
      <c r="L9" s="64">
        <f>VLOOKUP(L$1,'Event Dataset'!$B:$AE,'Better practice vs typical'!$I9,FALSE)/VLOOKUP(L$1,'Event Dataset'!$B:$AE,29,FALSE)</f>
        <v>0.20670391061452514</v>
      </c>
      <c r="M9" s="63">
        <f t="shared" si="0"/>
        <v>8.127036923678424E-2</v>
      </c>
    </row>
    <row r="10" spans="1:13" x14ac:dyDescent="0.25">
      <c r="G10" s="48"/>
      <c r="H10" s="48"/>
      <c r="I10" s="48"/>
      <c r="J10" s="48"/>
      <c r="K10" s="48"/>
      <c r="L10" s="48"/>
      <c r="M10" s="63">
        <f>SUM(M2:M9)</f>
        <v>0.99988637654811963</v>
      </c>
    </row>
    <row r="11" spans="1:13" ht="16.5" x14ac:dyDescent="0.3">
      <c r="A11" s="27" t="s">
        <v>44</v>
      </c>
      <c r="B11" s="27"/>
      <c r="C11" s="27"/>
      <c r="D11" s="27"/>
      <c r="E11" s="27"/>
      <c r="G11" s="57" t="s">
        <v>119</v>
      </c>
      <c r="H11" s="57" t="s">
        <v>120</v>
      </c>
      <c r="I11" s="57"/>
      <c r="J11" s="57">
        <f>MAX('Event Dataset'!B:B)</f>
        <v>11</v>
      </c>
      <c r="K11" s="57">
        <f>J11-1</f>
        <v>10</v>
      </c>
      <c r="L11" s="57">
        <f>K11-1</f>
        <v>9</v>
      </c>
      <c r="M11" s="48"/>
    </row>
    <row r="12" spans="1:13" x14ac:dyDescent="0.25">
      <c r="B12" s="19" t="s">
        <v>63</v>
      </c>
      <c r="C12" s="2"/>
      <c r="D12" s="2"/>
      <c r="E12" s="2"/>
      <c r="G12" s="48" t="s">
        <v>90</v>
      </c>
      <c r="H12" s="48" t="s">
        <v>15</v>
      </c>
      <c r="I12" s="48">
        <v>19</v>
      </c>
      <c r="J12" s="61">
        <f>VLOOKUP(J$11,'Event Dataset'!$B:$AE,'Better practice vs typical'!$I12,FALSE)/VLOOKUP(J$11,'Event Dataset'!$B:$AE,29,FALSE)</f>
        <v>0</v>
      </c>
      <c r="K12" s="61">
        <f>VLOOKUP(K$11,'Event Dataset'!$B:$AE,'Better practice vs typical'!$I12,FALSE)/VLOOKUP(K$11,'Event Dataset'!$B:$AE,29,FALSE)</f>
        <v>0</v>
      </c>
      <c r="L12" s="61">
        <f>VLOOKUP(L$11,'Event Dataset'!$B:$AE,'Better practice vs typical'!$I12,FALSE)/VLOOKUP(L$11,'Event Dataset'!$B:$AE,29,FALSE)</f>
        <v>0.42332304112408831</v>
      </c>
      <c r="M12" s="63">
        <f>AVERAGE(J12:L12)</f>
        <v>0.14110768037469609</v>
      </c>
    </row>
    <row r="13" spans="1:13" x14ac:dyDescent="0.25">
      <c r="A13" s="18" t="s">
        <v>24</v>
      </c>
      <c r="B13" s="22">
        <f t="shared" ref="B13" si="1">B21</f>
        <v>0.18497410381321897</v>
      </c>
      <c r="C13" s="21" t="s">
        <v>242</v>
      </c>
      <c r="D13" s="21"/>
      <c r="E13" s="21"/>
      <c r="G13" s="48" t="s">
        <v>307</v>
      </c>
      <c r="H13" s="48" t="s">
        <v>15</v>
      </c>
      <c r="I13" s="48">
        <v>21</v>
      </c>
      <c r="J13" s="61">
        <f>VLOOKUP(J$11,'Event Dataset'!$B:$AE,'Better practice vs typical'!$I13,FALSE)/VLOOKUP(J$11,'Event Dataset'!$B:$AE,29,FALSE)</f>
        <v>0.32581453634085211</v>
      </c>
      <c r="K13" s="61">
        <f>VLOOKUP(K$11,'Event Dataset'!$B:$AE,'Better practice vs typical'!$I13,FALSE)/VLOOKUP(K$11,'Event Dataset'!$B:$AE,29,FALSE)</f>
        <v>0</v>
      </c>
      <c r="L13" s="61">
        <f>VLOOKUP(L$11,'Event Dataset'!$B:$AE,'Better practice vs typical'!$I13,FALSE)/VLOOKUP(L$11,'Event Dataset'!$B:$AE,29,FALSE)</f>
        <v>3.6246476037051958E-2</v>
      </c>
      <c r="M13" s="63">
        <f t="shared" ref="M13:M19" si="2">AVERAGE(J13:L13)</f>
        <v>0.12068700412596801</v>
      </c>
    </row>
    <row r="14" spans="1:13" x14ac:dyDescent="0.25">
      <c r="A14" s="20" t="s">
        <v>21</v>
      </c>
      <c r="B14" s="15">
        <f>B31</f>
        <v>0.58035073632889933</v>
      </c>
      <c r="C14" s="3" t="s">
        <v>54</v>
      </c>
      <c r="D14" s="3"/>
      <c r="E14" s="3"/>
      <c r="G14" s="48" t="s">
        <v>3</v>
      </c>
      <c r="H14" s="48" t="s">
        <v>15</v>
      </c>
      <c r="I14" s="48">
        <v>20</v>
      </c>
      <c r="J14" s="61">
        <f>VLOOKUP(J$11,'Event Dataset'!$B:$AE,'Better practice vs typical'!$I14,FALSE)/VLOOKUP(J$11,'Event Dataset'!$B:$AE,29,FALSE)</f>
        <v>0</v>
      </c>
      <c r="K14" s="61">
        <f>VLOOKUP(K$11,'Event Dataset'!$B:$AE,'Better practice vs typical'!$I14,FALSE)/VLOOKUP(K$11,'Event Dataset'!$B:$AE,29,FALSE)</f>
        <v>0.32773109243697485</v>
      </c>
      <c r="L14" s="61">
        <f>VLOOKUP(L$11,'Event Dataset'!$B:$AE,'Better practice vs typical'!$I14,FALSE)/VLOOKUP(L$11,'Event Dataset'!$B:$AE,29,FALSE)</f>
        <v>0</v>
      </c>
      <c r="M14" s="63">
        <f t="shared" si="2"/>
        <v>0.10924369747899161</v>
      </c>
    </row>
    <row r="15" spans="1:13" x14ac:dyDescent="0.25">
      <c r="A15" s="17" t="s">
        <v>13</v>
      </c>
      <c r="B15" s="15">
        <f>B32</f>
        <v>0.42694446929935559</v>
      </c>
      <c r="C15" s="3" t="s">
        <v>54</v>
      </c>
      <c r="D15" s="3"/>
      <c r="E15" s="3"/>
      <c r="G15" s="48" t="s">
        <v>0</v>
      </c>
      <c r="H15" s="48" t="s">
        <v>15</v>
      </c>
      <c r="I15" s="48">
        <v>22</v>
      </c>
      <c r="J15" s="61">
        <f>VLOOKUP(J$11,'Event Dataset'!$B:$AE,'Better practice vs typical'!$I15,FALSE)/VLOOKUP(J$11,'Event Dataset'!$B:$AE,29,FALSE)</f>
        <v>0</v>
      </c>
      <c r="K15" s="61">
        <f>VLOOKUP(K$11,'Event Dataset'!$B:$AE,'Better practice vs typical'!$I15,FALSE)/VLOOKUP(K$11,'Event Dataset'!$B:$AE,29,FALSE)</f>
        <v>0</v>
      </c>
      <c r="L15" s="61">
        <f>VLOOKUP(L$11,'Event Dataset'!$B:$AE,'Better practice vs typical'!$I15,FALSE)/VLOOKUP(L$11,'Event Dataset'!$B:$AE,29,FALSE)</f>
        <v>0.16736027207231399</v>
      </c>
      <c r="M15" s="63">
        <f t="shared" si="2"/>
        <v>5.5786757357437995E-2</v>
      </c>
    </row>
    <row r="16" spans="1:13" x14ac:dyDescent="0.25">
      <c r="G16" s="48" t="s">
        <v>72</v>
      </c>
      <c r="H16" s="48" t="s">
        <v>15</v>
      </c>
      <c r="I16" s="48">
        <v>23</v>
      </c>
      <c r="J16" s="61">
        <f>VLOOKUP(J$11,'Event Dataset'!$B:$AE,'Better practice vs typical'!$I16,FALSE)/VLOOKUP(J$11,'Event Dataset'!$B:$AE,29,FALSE)</f>
        <v>0</v>
      </c>
      <c r="K16" s="61">
        <f>VLOOKUP(K$11,'Event Dataset'!$B:$AE,'Better practice vs typical'!$I16,FALSE)/VLOOKUP(K$11,'Event Dataset'!$B:$AE,29,FALSE)</f>
        <v>0</v>
      </c>
      <c r="L16" s="61">
        <f>VLOOKUP(L$11,'Event Dataset'!$B:$AE,'Better practice vs typical'!$I16,FALSE)/VLOOKUP(L$11,'Event Dataset'!$B:$AE,29,FALSE)</f>
        <v>3.5798988678569833E-4</v>
      </c>
      <c r="M16" s="63">
        <f t="shared" si="2"/>
        <v>1.1932996226189944E-4</v>
      </c>
    </row>
    <row r="17" spans="1:13" x14ac:dyDescent="0.25">
      <c r="G17" s="48" t="s">
        <v>71</v>
      </c>
      <c r="H17" s="48" t="s">
        <v>15</v>
      </c>
      <c r="I17" s="48">
        <v>24</v>
      </c>
      <c r="J17" s="61">
        <f>VLOOKUP(J$11,'Event Dataset'!$B:$AE,'Better practice vs typical'!$I17,FALSE)/VLOOKUP(J$11,'Event Dataset'!$B:$AE,29,FALSE)</f>
        <v>0</v>
      </c>
      <c r="K17" s="61">
        <f>VLOOKUP(K$11,'Event Dataset'!$B:$AE,'Better practice vs typical'!$I17,FALSE)/VLOOKUP(K$11,'Event Dataset'!$B:$AE,29,FALSE)</f>
        <v>0</v>
      </c>
      <c r="L17" s="61">
        <f>VLOOKUP(L$11,'Event Dataset'!$B:$AE,'Better practice vs typical'!$I17,FALSE)/VLOOKUP(L$11,'Event Dataset'!$B:$AE,29,FALSE)</f>
        <v>0</v>
      </c>
      <c r="M17" s="63">
        <f t="shared" si="2"/>
        <v>0</v>
      </c>
    </row>
    <row r="18" spans="1:13" ht="16.5" x14ac:dyDescent="0.3">
      <c r="A18" s="41" t="s">
        <v>73</v>
      </c>
      <c r="B18" s="41"/>
      <c r="C18" s="41"/>
      <c r="D18" s="41"/>
      <c r="E18" s="41"/>
      <c r="G18" s="48" t="s">
        <v>2</v>
      </c>
      <c r="H18" s="48" t="s">
        <v>53</v>
      </c>
      <c r="I18" s="48">
        <v>18</v>
      </c>
      <c r="J18" s="61">
        <f>VLOOKUP(J$11,'Event Dataset'!$B:$AE,'Better practice vs typical'!$I18,FALSE)/VLOOKUP(J$11,'Event Dataset'!$B:$AE,29,FALSE)</f>
        <v>0.63909774436090216</v>
      </c>
      <c r="K18" s="61">
        <f>VLOOKUP(K$11,'Event Dataset'!$B:$AE,'Better practice vs typical'!$I18,FALSE)/VLOOKUP(K$11,'Event Dataset'!$B:$AE,29,FALSE)</f>
        <v>0</v>
      </c>
      <c r="L18" s="61">
        <f>VLOOKUP(L$11,'Event Dataset'!$B:$AE,'Better practice vs typical'!$I18,FALSE)/VLOOKUP(L$11,'Event Dataset'!$B:$AE,29,FALSE)</f>
        <v>0.34586297937083282</v>
      </c>
      <c r="M18" s="63">
        <f t="shared" si="2"/>
        <v>0.32832024124391168</v>
      </c>
    </row>
    <row r="19" spans="1:13" x14ac:dyDescent="0.25">
      <c r="C19" s="683"/>
      <c r="D19" s="683"/>
      <c r="E19" s="683"/>
      <c r="G19" s="48" t="s">
        <v>1</v>
      </c>
      <c r="H19" s="48" t="s">
        <v>14</v>
      </c>
      <c r="I19" s="48">
        <v>17</v>
      </c>
      <c r="J19" s="61">
        <f>VLOOKUP(J$11,'Event Dataset'!$B:$AE,'Better practice vs typical'!$I19,FALSE)/VLOOKUP(J$11,'Event Dataset'!$B:$AE,29,FALSE)</f>
        <v>3.5087719298245612E-2</v>
      </c>
      <c r="K19" s="61">
        <f>VLOOKUP(K$11,'Event Dataset'!$B:$AE,'Better practice vs typical'!$I19,FALSE)/VLOOKUP(K$11,'Event Dataset'!$B:$AE,29,FALSE)</f>
        <v>0.67226890756302526</v>
      </c>
      <c r="L19" s="61">
        <f>VLOOKUP(L$11,'Event Dataset'!$B:$AE,'Better practice vs typical'!$I19,FALSE)/VLOOKUP(L$11,'Event Dataset'!$B:$AE,29,FALSE)</f>
        <v>2.6849241508927375E-2</v>
      </c>
      <c r="M19" s="63">
        <f t="shared" si="2"/>
        <v>0.24473528945673276</v>
      </c>
    </row>
    <row r="20" spans="1:13" x14ac:dyDescent="0.25">
      <c r="B20" s="19" t="s">
        <v>242</v>
      </c>
      <c r="C20" s="2"/>
      <c r="D20" s="2"/>
      <c r="E20" s="2"/>
      <c r="M20" s="63">
        <f>SUM(M12:M19)</f>
        <v>1</v>
      </c>
    </row>
    <row r="21" spans="1:13" x14ac:dyDescent="0.25">
      <c r="A21" s="18" t="s">
        <v>24</v>
      </c>
      <c r="B21" s="22">
        <f>AVERAGE('Event Dataset'!AG:AG)</f>
        <v>0.18497410381321897</v>
      </c>
      <c r="C21" s="21"/>
      <c r="D21" s="21"/>
      <c r="E21" s="21"/>
    </row>
    <row r="22" spans="1:13" x14ac:dyDescent="0.25">
      <c r="A22" s="20" t="s">
        <v>21</v>
      </c>
      <c r="B22" s="15">
        <f>AVERAGE('Event Dataset'!AE:AE)</f>
        <v>0.83210267096422574</v>
      </c>
      <c r="C22" s="3"/>
      <c r="D22" s="3"/>
      <c r="E22" s="3"/>
    </row>
    <row r="23" spans="1:13" x14ac:dyDescent="0.25">
      <c r="A23" s="17" t="s">
        <v>13</v>
      </c>
      <c r="B23" s="15">
        <f>AVERAGE('Event Dataset'!AF:AF)</f>
        <v>0.67714343616337169</v>
      </c>
      <c r="C23" s="3"/>
      <c r="D23" s="3"/>
      <c r="E23" s="3"/>
    </row>
    <row r="27" spans="1:13" ht="16.5" x14ac:dyDescent="0.3">
      <c r="A27" s="42" t="s">
        <v>74</v>
      </c>
      <c r="B27" s="42"/>
      <c r="C27" s="42"/>
      <c r="D27" s="42"/>
      <c r="E27" s="42"/>
    </row>
    <row r="28" spans="1:13" x14ac:dyDescent="0.25">
      <c r="C28" s="683"/>
      <c r="D28" s="683"/>
      <c r="E28" s="683"/>
    </row>
    <row r="29" spans="1:13" x14ac:dyDescent="0.25">
      <c r="B29" s="19" t="s">
        <v>54</v>
      </c>
      <c r="C29" s="2">
        <v>1</v>
      </c>
      <c r="D29" s="2">
        <v>2</v>
      </c>
      <c r="E29" s="2">
        <v>3</v>
      </c>
    </row>
    <row r="30" spans="1:13" x14ac:dyDescent="0.25">
      <c r="A30" s="18" t="s">
        <v>24</v>
      </c>
      <c r="B30" s="22">
        <f>AVERAGE($C$30:$E$30)</f>
        <v>0.40590848595848589</v>
      </c>
      <c r="C30" s="21">
        <f>LARGE('Event Dataset'!$AG:$AG,'Better practice vs typical'!C$29)</f>
        <v>0.59666666666666668</v>
      </c>
      <c r="D30" s="158">
        <f>LARGE('Event Dataset'!$AG:$AG,'Better practice vs typical'!D$29)</f>
        <v>0.31413571428571424</v>
      </c>
      <c r="E30" s="158">
        <f>LARGE('Event Dataset'!$AG:$AG,'Better practice vs typical'!E$29)</f>
        <v>0.30692307692307691</v>
      </c>
    </row>
    <row r="31" spans="1:13" x14ac:dyDescent="0.25">
      <c r="A31" s="20" t="s">
        <v>21</v>
      </c>
      <c r="B31" s="15">
        <f>AVERAGE($C$31:$E$31)</f>
        <v>0.58035073632889933</v>
      </c>
      <c r="C31" s="3">
        <f>SMALL('Event Dataset'!$AE:$AE,'Better practice vs typical'!C$29)</f>
        <v>0.32773109243697485</v>
      </c>
      <c r="D31" s="157">
        <f>SMALL('Event Dataset'!$AE:$AE,'Better practice vs typical'!D$29)</f>
        <v>0.65212708669897679</v>
      </c>
      <c r="E31" s="157">
        <f>SMALL('Event Dataset'!$AE:$AE,'Better practice vs typical'!E$29)</f>
        <v>0.76119402985074625</v>
      </c>
    </row>
    <row r="32" spans="1:13" x14ac:dyDescent="0.25">
      <c r="A32" s="17" t="s">
        <v>13</v>
      </c>
      <c r="B32" s="15">
        <f>AVERAGE($C$32:$E$32)</f>
        <v>0.42694446929935559</v>
      </c>
      <c r="C32" s="3">
        <f>SMALL('Event Dataset'!$AF:$AF,'Better practice vs typical'!C$29)</f>
        <v>0.32581453634085211</v>
      </c>
      <c r="D32" s="157">
        <f>SMALL('Event Dataset'!$AF:$AF,'Better practice vs typical'!D$29)</f>
        <v>0.32773109243697485</v>
      </c>
      <c r="E32" s="157">
        <f>SMALL('Event Dataset'!$AF:$AF,'Better practice vs typical'!E$29)</f>
        <v>0.62728777912023992</v>
      </c>
    </row>
  </sheetData>
  <mergeCells count="3">
    <mergeCell ref="C19:E19"/>
    <mergeCell ref="C28:E28"/>
    <mergeCell ref="C2:E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25"/>
  <sheetViews>
    <sheetView workbookViewId="0">
      <selection activeCell="E22" sqref="E22"/>
    </sheetView>
  </sheetViews>
  <sheetFormatPr defaultColWidth="9" defaultRowHeight="15" x14ac:dyDescent="0.25"/>
  <cols>
    <col min="1" max="1" width="26.140625" style="14" customWidth="1"/>
    <col min="2" max="4" width="23.28515625" style="14" customWidth="1"/>
    <col min="5" max="5" width="26" style="14" customWidth="1"/>
    <col min="6" max="6" width="3.140625" style="14" customWidth="1"/>
    <col min="7" max="7" width="28.7109375" style="14" bestFit="1" customWidth="1"/>
    <col min="8" max="8" width="28.7109375" style="14" customWidth="1"/>
    <col min="9" max="9" width="4.140625" style="14" customWidth="1"/>
    <col min="10" max="12" width="23.28515625" style="14" customWidth="1"/>
    <col min="13" max="13" width="3.7109375" style="51" customWidth="1"/>
    <col min="14" max="14" width="22.7109375" style="51" bestFit="1" customWidth="1"/>
    <col min="15" max="15" width="2.5703125" style="51" customWidth="1"/>
    <col min="16" max="16" width="22.7109375" style="51" bestFit="1" customWidth="1"/>
    <col min="17" max="17" width="1.5703125" style="51" customWidth="1"/>
    <col min="18" max="18" width="22.7109375" style="51" bestFit="1" customWidth="1"/>
    <col min="19" max="19" width="1.7109375" style="51" customWidth="1"/>
    <col min="20" max="20" width="22.7109375" style="14" bestFit="1" customWidth="1"/>
    <col min="21" max="21" width="2.140625" style="14" customWidth="1"/>
    <col min="22" max="22" width="27" style="14" bestFit="1" customWidth="1"/>
    <col min="23" max="23" width="1.7109375" style="14" customWidth="1"/>
    <col min="24" max="24" width="33" style="14" bestFit="1" customWidth="1"/>
    <col min="25" max="25" width="2.42578125" style="14" customWidth="1"/>
    <col min="26" max="26" width="30.7109375" style="14" bestFit="1" customWidth="1"/>
    <col min="27" max="27" width="1.28515625" style="14" customWidth="1"/>
    <col min="28" max="28" width="9" style="1"/>
    <col min="29" max="29" width="22.42578125" style="1" customWidth="1"/>
    <col min="30" max="30" width="14.42578125" style="1" customWidth="1"/>
    <col min="31" max="31" width="23.42578125" style="1" bestFit="1" customWidth="1"/>
    <col min="32" max="32" width="9" style="1"/>
    <col min="33" max="36" width="23.42578125" style="1" customWidth="1"/>
    <col min="37" max="37" width="9" style="1"/>
    <col min="38" max="38" width="27" style="1" customWidth="1"/>
    <col min="39" max="39" width="9" style="1"/>
    <col min="40" max="40" width="32.5703125" style="1" customWidth="1"/>
    <col min="41" max="16384" width="9" style="1"/>
  </cols>
  <sheetData>
    <row r="1" spans="1:40" s="46" customFormat="1" x14ac:dyDescent="0.25">
      <c r="A1" s="24" t="s">
        <v>5</v>
      </c>
      <c r="B1" s="24" t="s">
        <v>67</v>
      </c>
      <c r="C1" s="24" t="s">
        <v>68</v>
      </c>
      <c r="D1" s="24" t="s">
        <v>81</v>
      </c>
      <c r="E1" s="24"/>
      <c r="F1" s="48"/>
      <c r="G1" s="24" t="s">
        <v>70</v>
      </c>
      <c r="H1" s="24"/>
      <c r="I1" s="48"/>
      <c r="J1" s="47" t="s">
        <v>75</v>
      </c>
      <c r="K1" s="47" t="s">
        <v>51</v>
      </c>
      <c r="L1" s="47" t="s">
        <v>50</v>
      </c>
      <c r="M1" s="50"/>
      <c r="N1" s="47" t="s">
        <v>4</v>
      </c>
      <c r="O1" s="51"/>
      <c r="P1" s="47" t="s">
        <v>6</v>
      </c>
      <c r="Q1" s="51"/>
      <c r="R1" s="47" t="s">
        <v>60</v>
      </c>
      <c r="S1" s="51"/>
      <c r="T1" s="47" t="s">
        <v>65</v>
      </c>
      <c r="U1" s="14"/>
      <c r="V1" s="47" t="s">
        <v>66</v>
      </c>
      <c r="W1" s="14"/>
      <c r="X1" s="47" t="s">
        <v>96</v>
      </c>
      <c r="Y1" s="14"/>
      <c r="Z1" s="47" t="s">
        <v>38</v>
      </c>
      <c r="AA1" s="14"/>
      <c r="AB1" s="47" t="s">
        <v>105</v>
      </c>
      <c r="AC1" s="47" t="s">
        <v>47</v>
      </c>
      <c r="AD1" s="47" t="s">
        <v>125</v>
      </c>
      <c r="AE1" s="47" t="s">
        <v>112</v>
      </c>
      <c r="AG1" s="47" t="s">
        <v>105</v>
      </c>
      <c r="AH1" s="47" t="s">
        <v>47</v>
      </c>
      <c r="AI1" s="47" t="s">
        <v>125</v>
      </c>
      <c r="AJ1" s="47" t="s">
        <v>112</v>
      </c>
      <c r="AL1" s="47" t="s">
        <v>128</v>
      </c>
      <c r="AN1" s="47" t="s">
        <v>170</v>
      </c>
    </row>
    <row r="2" spans="1:40" x14ac:dyDescent="0.25">
      <c r="A2" s="25" t="s">
        <v>90</v>
      </c>
      <c r="B2" s="25">
        <v>200</v>
      </c>
      <c r="C2" s="25"/>
      <c r="D2" s="34" t="s">
        <v>82</v>
      </c>
      <c r="E2" s="34" t="str">
        <f>$G$3</f>
        <v>Recycling</v>
      </c>
      <c r="F2" s="48"/>
      <c r="G2" s="48" t="s">
        <v>27</v>
      </c>
      <c r="H2" s="48" t="s">
        <v>224</v>
      </c>
      <c r="I2" s="48"/>
      <c r="J2" s="54">
        <v>0</v>
      </c>
      <c r="K2" s="54">
        <v>2999</v>
      </c>
      <c r="L2" s="55" t="s">
        <v>76</v>
      </c>
      <c r="M2" s="48"/>
      <c r="N2" s="48" t="s">
        <v>7</v>
      </c>
      <c r="P2" s="48" t="s">
        <v>20</v>
      </c>
      <c r="R2" s="48" t="s">
        <v>61</v>
      </c>
      <c r="T2" s="48" t="s">
        <v>63</v>
      </c>
      <c r="V2" s="48" t="s">
        <v>10</v>
      </c>
      <c r="X2" s="48" t="s">
        <v>95</v>
      </c>
      <c r="Z2" s="48" t="s">
        <v>34</v>
      </c>
      <c r="AB2" s="48" t="s">
        <v>106</v>
      </c>
      <c r="AC2" s="48">
        <v>0.08</v>
      </c>
      <c r="AD2" s="48">
        <f>AC2*1000</f>
        <v>80</v>
      </c>
      <c r="AE2" s="48" t="s">
        <v>137</v>
      </c>
      <c r="AG2" s="48" t="s">
        <v>106</v>
      </c>
      <c r="AH2" s="48">
        <v>0.08</v>
      </c>
      <c r="AI2" s="48">
        <f>AH2*1000</f>
        <v>80</v>
      </c>
      <c r="AJ2" s="48" t="s">
        <v>137</v>
      </c>
      <c r="AL2" s="48" t="s">
        <v>10</v>
      </c>
      <c r="AN2" s="48" t="s">
        <v>171</v>
      </c>
    </row>
    <row r="3" spans="1:40" ht="17.25" x14ac:dyDescent="0.25">
      <c r="A3" s="25" t="s">
        <v>307</v>
      </c>
      <c r="B3" s="25">
        <v>72</v>
      </c>
      <c r="C3" s="25">
        <f>B3*2</f>
        <v>144</v>
      </c>
      <c r="D3" s="34" t="s">
        <v>82</v>
      </c>
      <c r="E3" s="34" t="str">
        <f t="shared" ref="E3:E7" si="0">$G$3</f>
        <v>Recycling</v>
      </c>
      <c r="F3" s="48"/>
      <c r="G3" s="48" t="s">
        <v>15</v>
      </c>
      <c r="H3" s="48"/>
      <c r="I3" s="48"/>
      <c r="J3" s="54">
        <v>3000</v>
      </c>
      <c r="K3" s="54">
        <v>9999</v>
      </c>
      <c r="L3" s="55" t="s">
        <v>78</v>
      </c>
      <c r="M3" s="48"/>
      <c r="N3" s="48" t="s">
        <v>18</v>
      </c>
      <c r="P3" s="48" t="s">
        <v>33</v>
      </c>
      <c r="R3" s="48" t="s">
        <v>62</v>
      </c>
      <c r="T3" s="48" t="s">
        <v>64</v>
      </c>
      <c r="V3" s="48" t="s">
        <v>8</v>
      </c>
      <c r="X3" s="48" t="s">
        <v>97</v>
      </c>
      <c r="Z3" s="48" t="s">
        <v>99</v>
      </c>
      <c r="AB3" s="48" t="s">
        <v>107</v>
      </c>
      <c r="AC3" s="48">
        <v>0.14000000000000001</v>
      </c>
      <c r="AD3" s="48">
        <f t="shared" ref="AD3:AD13" si="1">AC3*1000</f>
        <v>140</v>
      </c>
      <c r="AE3" s="48" t="s">
        <v>137</v>
      </c>
      <c r="AG3" s="48" t="s">
        <v>107</v>
      </c>
      <c r="AH3" s="48">
        <v>0.14000000000000001</v>
      </c>
      <c r="AI3" s="48">
        <f t="shared" ref="AI3:AI5" si="2">AH3*1000</f>
        <v>140</v>
      </c>
      <c r="AJ3" s="48" t="s">
        <v>137</v>
      </c>
      <c r="AL3" s="48" t="s">
        <v>8</v>
      </c>
      <c r="AN3" s="48" t="s">
        <v>172</v>
      </c>
    </row>
    <row r="4" spans="1:40" x14ac:dyDescent="0.25">
      <c r="A4" s="25" t="s">
        <v>3</v>
      </c>
      <c r="B4" s="25">
        <v>65</v>
      </c>
      <c r="C4" s="25">
        <f t="shared" ref="C4:C12" si="3">B4*2</f>
        <v>130</v>
      </c>
      <c r="D4" s="34" t="s">
        <v>82</v>
      </c>
      <c r="E4" s="34" t="str">
        <f t="shared" si="0"/>
        <v>Recycling</v>
      </c>
      <c r="F4" s="48"/>
      <c r="G4" s="48" t="s">
        <v>53</v>
      </c>
      <c r="H4" s="48" t="s">
        <v>224</v>
      </c>
      <c r="I4" s="48"/>
      <c r="J4" s="54">
        <v>10000</v>
      </c>
      <c r="K4" s="54">
        <v>49999</v>
      </c>
      <c r="L4" s="55" t="s">
        <v>77</v>
      </c>
      <c r="M4" s="48"/>
      <c r="N4" s="48" t="s">
        <v>37</v>
      </c>
      <c r="P4" s="48" t="s">
        <v>19</v>
      </c>
      <c r="R4" s="49" t="s">
        <v>59</v>
      </c>
      <c r="T4" s="49" t="s">
        <v>59</v>
      </c>
      <c r="V4" s="49" t="s">
        <v>59</v>
      </c>
      <c r="X4" s="48" t="s">
        <v>98</v>
      </c>
      <c r="Z4" s="48" t="s">
        <v>304</v>
      </c>
      <c r="AB4" s="48" t="s">
        <v>108</v>
      </c>
      <c r="AC4" s="48">
        <v>0.24</v>
      </c>
      <c r="AD4" s="48">
        <f t="shared" si="1"/>
        <v>240</v>
      </c>
      <c r="AE4" s="48" t="s">
        <v>137</v>
      </c>
      <c r="AG4" s="48" t="s">
        <v>108</v>
      </c>
      <c r="AH4" s="48">
        <v>0.24</v>
      </c>
      <c r="AI4" s="48">
        <f t="shared" si="2"/>
        <v>240</v>
      </c>
      <c r="AJ4" s="48" t="s">
        <v>137</v>
      </c>
      <c r="AL4" s="49" t="s">
        <v>59</v>
      </c>
      <c r="AN4" s="49" t="s">
        <v>59</v>
      </c>
    </row>
    <row r="5" spans="1:40" x14ac:dyDescent="0.25">
      <c r="A5" s="25" t="s">
        <v>0</v>
      </c>
      <c r="B5" s="25">
        <v>55</v>
      </c>
      <c r="C5" s="25">
        <f t="shared" si="3"/>
        <v>110</v>
      </c>
      <c r="D5" s="34" t="s">
        <v>83</v>
      </c>
      <c r="E5" s="34" t="str">
        <f t="shared" si="0"/>
        <v>Recycling</v>
      </c>
      <c r="F5" s="48"/>
      <c r="G5" s="48" t="s">
        <v>14</v>
      </c>
      <c r="H5" s="48" t="s">
        <v>225</v>
      </c>
      <c r="I5" s="48"/>
      <c r="J5" s="54">
        <v>50000</v>
      </c>
      <c r="K5" s="54">
        <v>1000000</v>
      </c>
      <c r="L5" s="55" t="s">
        <v>79</v>
      </c>
      <c r="M5" s="48"/>
      <c r="N5" s="49" t="s">
        <v>59</v>
      </c>
      <c r="P5" s="49" t="s">
        <v>59</v>
      </c>
      <c r="R5" s="48"/>
      <c r="T5" s="48"/>
      <c r="V5" s="48"/>
      <c r="X5" s="49" t="s">
        <v>59</v>
      </c>
      <c r="Z5" s="49" t="s">
        <v>59</v>
      </c>
      <c r="AB5" s="48" t="s">
        <v>109</v>
      </c>
      <c r="AC5" s="48">
        <v>0.36</v>
      </c>
      <c r="AD5" s="48">
        <f t="shared" si="1"/>
        <v>360</v>
      </c>
      <c r="AE5" s="48" t="s">
        <v>137</v>
      </c>
      <c r="AG5" s="48" t="s">
        <v>110</v>
      </c>
      <c r="AH5" s="48">
        <v>0.66</v>
      </c>
      <c r="AI5" s="48">
        <f t="shared" si="2"/>
        <v>660</v>
      </c>
      <c r="AJ5" s="48" t="s">
        <v>138</v>
      </c>
    </row>
    <row r="6" spans="1:40" x14ac:dyDescent="0.25">
      <c r="A6" s="25" t="s">
        <v>72</v>
      </c>
      <c r="B6" s="25">
        <v>50</v>
      </c>
      <c r="C6" s="25">
        <f t="shared" si="3"/>
        <v>100</v>
      </c>
      <c r="D6" s="34"/>
      <c r="E6" s="34" t="str">
        <f t="shared" si="0"/>
        <v>Recycling</v>
      </c>
      <c r="F6" s="48"/>
      <c r="G6" s="48" t="s">
        <v>314</v>
      </c>
      <c r="H6" s="48"/>
      <c r="I6" s="48"/>
      <c r="J6" s="43"/>
      <c r="K6" s="43" t="s">
        <v>102</v>
      </c>
      <c r="L6" s="43"/>
      <c r="M6" s="48"/>
      <c r="N6" s="48"/>
      <c r="P6" s="48"/>
      <c r="R6" s="48"/>
      <c r="T6" s="48"/>
      <c r="V6" s="48"/>
      <c r="X6" s="48"/>
      <c r="Z6" s="48"/>
      <c r="AB6" s="48" t="s">
        <v>110</v>
      </c>
      <c r="AC6" s="48">
        <v>0.66</v>
      </c>
      <c r="AD6" s="48">
        <f t="shared" si="1"/>
        <v>660</v>
      </c>
      <c r="AE6" s="48" t="s">
        <v>138</v>
      </c>
    </row>
    <row r="7" spans="1:40" x14ac:dyDescent="0.25">
      <c r="A7" s="25" t="s">
        <v>71</v>
      </c>
      <c r="B7" s="25">
        <v>50</v>
      </c>
      <c r="C7" s="25">
        <f t="shared" si="3"/>
        <v>100</v>
      </c>
      <c r="D7" s="34"/>
      <c r="E7" s="34" t="str">
        <f t="shared" si="0"/>
        <v>Recycling</v>
      </c>
      <c r="F7" s="48"/>
      <c r="G7" s="49" t="s">
        <v>59</v>
      </c>
      <c r="H7" s="117"/>
      <c r="I7" s="48"/>
      <c r="J7" s="48"/>
      <c r="K7" s="48"/>
      <c r="L7" s="48"/>
      <c r="M7" s="48"/>
      <c r="N7" s="48"/>
      <c r="P7" s="48"/>
      <c r="R7" s="48"/>
      <c r="T7" s="48"/>
      <c r="V7" s="48"/>
      <c r="X7" s="48"/>
      <c r="Z7" s="48"/>
      <c r="AB7" s="48" t="s">
        <v>111</v>
      </c>
      <c r="AC7" s="48">
        <v>1.1000000000000001</v>
      </c>
      <c r="AD7" s="48">
        <f t="shared" si="1"/>
        <v>1100</v>
      </c>
      <c r="AE7" s="48" t="s">
        <v>138</v>
      </c>
      <c r="AG7" s="684" t="s">
        <v>59</v>
      </c>
      <c r="AH7" s="684"/>
      <c r="AI7" s="684"/>
      <c r="AJ7" s="684"/>
    </row>
    <row r="8" spans="1:40" x14ac:dyDescent="0.25">
      <c r="A8" s="25" t="s">
        <v>2</v>
      </c>
      <c r="B8" s="25">
        <v>65</v>
      </c>
      <c r="C8" s="25">
        <f t="shared" si="3"/>
        <v>130</v>
      </c>
      <c r="D8" s="34"/>
      <c r="E8" s="34" t="str">
        <f>G4</f>
        <v>Alternative fuels/EfW</v>
      </c>
      <c r="F8" s="48"/>
      <c r="G8" s="48"/>
      <c r="H8" s="48"/>
      <c r="I8" s="48"/>
      <c r="J8" s="48"/>
      <c r="K8" s="48"/>
      <c r="L8" s="48"/>
      <c r="M8" s="48"/>
      <c r="N8" s="48"/>
      <c r="P8" s="48"/>
      <c r="R8" s="48"/>
      <c r="T8" s="48"/>
      <c r="V8" s="48"/>
      <c r="X8" s="48"/>
      <c r="Z8" s="48"/>
      <c r="AB8" s="48" t="s">
        <v>113</v>
      </c>
      <c r="AC8" s="48">
        <v>1.5</v>
      </c>
      <c r="AD8" s="48">
        <f t="shared" si="1"/>
        <v>1500</v>
      </c>
      <c r="AE8" s="48" t="s">
        <v>139</v>
      </c>
    </row>
    <row r="9" spans="1:40" x14ac:dyDescent="0.25">
      <c r="A9" s="25" t="s">
        <v>1</v>
      </c>
      <c r="B9" s="25">
        <v>80</v>
      </c>
      <c r="C9" s="25">
        <f t="shared" si="3"/>
        <v>160</v>
      </c>
      <c r="D9" s="34" t="s">
        <v>82</v>
      </c>
      <c r="E9" s="34" t="s">
        <v>14</v>
      </c>
      <c r="F9" s="48"/>
      <c r="G9" s="48"/>
      <c r="H9" s="48"/>
      <c r="I9" s="48"/>
      <c r="J9" s="48"/>
      <c r="K9" s="48"/>
      <c r="L9" s="48"/>
      <c r="M9" s="48"/>
      <c r="N9" s="48"/>
      <c r="P9" s="48"/>
      <c r="R9" s="48"/>
      <c r="T9" s="48"/>
      <c r="V9" s="48"/>
      <c r="X9" s="48"/>
      <c r="Z9" s="48"/>
      <c r="AB9" s="48" t="s">
        <v>114</v>
      </c>
      <c r="AC9" s="48">
        <v>2</v>
      </c>
      <c r="AD9" s="48">
        <f t="shared" si="1"/>
        <v>2000</v>
      </c>
      <c r="AE9" s="48" t="s">
        <v>139</v>
      </c>
    </row>
    <row r="10" spans="1:40" x14ac:dyDescent="0.25">
      <c r="A10" s="25" t="s">
        <v>315</v>
      </c>
      <c r="B10" s="25">
        <v>80</v>
      </c>
      <c r="C10" s="25">
        <f t="shared" si="3"/>
        <v>160</v>
      </c>
      <c r="D10" s="34" t="s">
        <v>82</v>
      </c>
      <c r="E10" s="34" t="s">
        <v>314</v>
      </c>
      <c r="F10" s="48"/>
      <c r="G10" s="48"/>
      <c r="H10" s="48"/>
      <c r="I10" s="48"/>
      <c r="J10" s="48"/>
      <c r="K10" s="48"/>
      <c r="L10" s="48"/>
      <c r="M10" s="48"/>
      <c r="N10" s="48"/>
      <c r="P10" s="48"/>
      <c r="R10" s="48"/>
      <c r="T10" s="48"/>
      <c r="V10" s="48"/>
      <c r="X10" s="48"/>
      <c r="Z10" s="48"/>
      <c r="AB10" s="48" t="s">
        <v>115</v>
      </c>
      <c r="AC10" s="48">
        <v>3</v>
      </c>
      <c r="AD10" s="48">
        <f t="shared" si="1"/>
        <v>3000</v>
      </c>
      <c r="AE10" s="48" t="s">
        <v>139</v>
      </c>
    </row>
    <row r="11" spans="1:40" x14ac:dyDescent="0.25">
      <c r="A11" s="25" t="s">
        <v>80</v>
      </c>
      <c r="B11" s="25">
        <v>72</v>
      </c>
      <c r="C11" s="25">
        <f t="shared" si="3"/>
        <v>144</v>
      </c>
      <c r="D11" s="34" t="s">
        <v>83</v>
      </c>
      <c r="E11" s="34" t="str">
        <f t="shared" ref="E11:E18" si="4">$G$3</f>
        <v>Recycling</v>
      </c>
      <c r="F11" s="48"/>
      <c r="G11" s="48"/>
      <c r="H11" s="48"/>
      <c r="I11" s="48"/>
      <c r="J11" s="48"/>
      <c r="K11" s="48"/>
      <c r="L11" s="48"/>
      <c r="M11" s="48"/>
      <c r="N11" s="48"/>
      <c r="P11" s="48"/>
      <c r="R11" s="48"/>
      <c r="T11" s="48"/>
      <c r="V11" s="48"/>
      <c r="X11" s="48"/>
      <c r="Z11" s="48"/>
      <c r="AB11" s="48" t="s">
        <v>118</v>
      </c>
      <c r="AC11" s="48">
        <v>3.5</v>
      </c>
      <c r="AD11" s="48">
        <f t="shared" si="1"/>
        <v>3500</v>
      </c>
      <c r="AE11" s="48" t="s">
        <v>139</v>
      </c>
    </row>
    <row r="12" spans="1:40" x14ac:dyDescent="0.25">
      <c r="A12" s="25" t="s">
        <v>85</v>
      </c>
      <c r="B12" s="25">
        <v>14</v>
      </c>
      <c r="C12" s="25">
        <f t="shared" si="3"/>
        <v>28</v>
      </c>
      <c r="D12" s="34" t="s">
        <v>82</v>
      </c>
      <c r="E12" s="34" t="str">
        <f t="shared" si="4"/>
        <v>Recycling</v>
      </c>
      <c r="F12" s="48"/>
      <c r="G12" s="48"/>
      <c r="H12" s="48"/>
      <c r="I12" s="48"/>
      <c r="J12" s="48"/>
      <c r="K12" s="48"/>
      <c r="L12" s="48"/>
      <c r="M12" s="48"/>
      <c r="N12" s="48"/>
      <c r="P12" s="48"/>
      <c r="R12" s="48"/>
      <c r="T12" s="48"/>
      <c r="V12" s="48"/>
      <c r="X12" s="48"/>
      <c r="Z12" s="48"/>
      <c r="AB12" s="48" t="s">
        <v>117</v>
      </c>
      <c r="AC12" s="48">
        <v>4</v>
      </c>
      <c r="AD12" s="48">
        <f t="shared" si="1"/>
        <v>4000</v>
      </c>
      <c r="AE12" s="48" t="s">
        <v>139</v>
      </c>
    </row>
    <row r="13" spans="1:40" x14ac:dyDescent="0.25">
      <c r="A13" s="25" t="s">
        <v>86</v>
      </c>
      <c r="B13" s="25">
        <v>76</v>
      </c>
      <c r="C13" s="25"/>
      <c r="D13" s="34"/>
      <c r="E13" s="34" t="str">
        <f t="shared" si="4"/>
        <v>Recycling</v>
      </c>
      <c r="F13" s="48"/>
      <c r="G13" s="48"/>
      <c r="H13" s="48"/>
      <c r="I13" s="48"/>
      <c r="J13" s="48"/>
      <c r="K13" s="48"/>
      <c r="L13" s="48"/>
      <c r="M13" s="48"/>
      <c r="N13" s="48"/>
      <c r="P13" s="48"/>
      <c r="T13" s="48"/>
      <c r="V13" s="48"/>
      <c r="X13" s="48"/>
      <c r="Z13" s="48"/>
      <c r="AB13" s="48" t="s">
        <v>116</v>
      </c>
      <c r="AC13" s="48">
        <v>4.5</v>
      </c>
      <c r="AD13" s="48">
        <f t="shared" si="1"/>
        <v>4500</v>
      </c>
      <c r="AE13" s="48" t="s">
        <v>139</v>
      </c>
    </row>
    <row r="14" spans="1:40" x14ac:dyDescent="0.25">
      <c r="A14" s="25" t="s">
        <v>87</v>
      </c>
      <c r="B14" s="25">
        <v>130</v>
      </c>
      <c r="C14" s="25">
        <v>130</v>
      </c>
      <c r="D14" s="34"/>
      <c r="E14" s="34" t="str">
        <f t="shared" si="4"/>
        <v>Recycling</v>
      </c>
      <c r="F14" s="48"/>
      <c r="G14" s="48"/>
      <c r="H14" s="48"/>
      <c r="I14" s="48"/>
      <c r="J14" s="48"/>
      <c r="K14" s="48"/>
      <c r="L14" s="48"/>
      <c r="M14" s="48"/>
      <c r="V14" s="48"/>
      <c r="X14" s="48"/>
      <c r="Z14" s="48"/>
      <c r="AB14" s="78"/>
      <c r="AC14" s="78"/>
      <c r="AD14" s="78"/>
      <c r="AE14" s="78"/>
    </row>
    <row r="15" spans="1:40" x14ac:dyDescent="0.25">
      <c r="A15" s="25" t="s">
        <v>88</v>
      </c>
      <c r="B15" s="25">
        <v>411</v>
      </c>
      <c r="C15" s="25">
        <v>411</v>
      </c>
      <c r="D15" s="34"/>
      <c r="E15" s="34" t="str">
        <f t="shared" si="4"/>
        <v>Recycling</v>
      </c>
      <c r="G15" s="48"/>
      <c r="H15" s="48"/>
      <c r="J15" s="48"/>
      <c r="K15" s="48"/>
      <c r="L15" s="48"/>
    </row>
    <row r="16" spans="1:40" x14ac:dyDescent="0.25">
      <c r="A16" s="25" t="s">
        <v>89</v>
      </c>
      <c r="B16" s="25">
        <v>91</v>
      </c>
      <c r="C16" s="25"/>
      <c r="D16" s="34"/>
      <c r="E16" s="34" t="str">
        <f t="shared" si="4"/>
        <v>Recycling</v>
      </c>
      <c r="G16" s="48"/>
      <c r="H16" s="48"/>
      <c r="AB16" s="684" t="s">
        <v>59</v>
      </c>
      <c r="AC16" s="684"/>
      <c r="AD16" s="684"/>
      <c r="AE16" s="684"/>
    </row>
    <row r="17" spans="1:6" x14ac:dyDescent="0.25">
      <c r="A17" s="25" t="s">
        <v>91</v>
      </c>
      <c r="B17" s="25">
        <v>156</v>
      </c>
      <c r="C17" s="25"/>
      <c r="D17" s="34" t="s">
        <v>83</v>
      </c>
      <c r="E17" s="34" t="str">
        <f t="shared" si="4"/>
        <v>Recycling</v>
      </c>
    </row>
    <row r="18" spans="1:6" x14ac:dyDescent="0.25">
      <c r="A18" s="25" t="s">
        <v>57</v>
      </c>
      <c r="B18" s="25">
        <v>120</v>
      </c>
      <c r="C18" s="25"/>
      <c r="D18" s="34" t="s">
        <v>83</v>
      </c>
      <c r="E18" s="34" t="str">
        <f t="shared" si="4"/>
        <v>Recycling</v>
      </c>
      <c r="F18" s="53" t="s">
        <v>103</v>
      </c>
    </row>
    <row r="19" spans="1:6" x14ac:dyDescent="0.25">
      <c r="A19" s="25" t="s">
        <v>92</v>
      </c>
      <c r="B19" s="25">
        <v>125</v>
      </c>
      <c r="C19" s="25"/>
      <c r="D19" s="34" t="s">
        <v>82</v>
      </c>
      <c r="E19" s="34" t="s">
        <v>14</v>
      </c>
    </row>
    <row r="20" spans="1:6" x14ac:dyDescent="0.25">
      <c r="A20" s="44" t="e">
        <f>IF(#REF!="","",#REF!)</f>
        <v>#REF!</v>
      </c>
      <c r="B20" s="44" t="e">
        <f>#REF!</f>
        <v>#REF!</v>
      </c>
      <c r="C20" s="44" t="e">
        <f>#REF!</f>
        <v>#REF!</v>
      </c>
      <c r="D20" s="45"/>
      <c r="E20" s="68"/>
    </row>
    <row r="21" spans="1:6" x14ac:dyDescent="0.25">
      <c r="A21" s="26" t="e">
        <f>IF(#REF!="","",#REF!)</f>
        <v>#REF!</v>
      </c>
      <c r="B21" s="26" t="e">
        <f>#REF!</f>
        <v>#REF!</v>
      </c>
      <c r="C21" s="26" t="e">
        <f>#REF!</f>
        <v>#REF!</v>
      </c>
      <c r="D21" s="35"/>
      <c r="E21" s="35"/>
    </row>
    <row r="22" spans="1:6" x14ac:dyDescent="0.25">
      <c r="A22" s="26" t="e">
        <f>IF(#REF!="","",#REF!)</f>
        <v>#REF!</v>
      </c>
      <c r="B22" s="26" t="e">
        <f>#REF!</f>
        <v>#REF!</v>
      </c>
      <c r="C22" s="26" t="e">
        <f>#REF!</f>
        <v>#REF!</v>
      </c>
      <c r="D22" s="35"/>
      <c r="E22" s="35"/>
    </row>
    <row r="23" spans="1:6" x14ac:dyDescent="0.25">
      <c r="A23" s="26" t="e">
        <f>IF(#REF!="","",#REF!)</f>
        <v>#REF!</v>
      </c>
      <c r="B23" s="26" t="e">
        <f>#REF!</f>
        <v>#REF!</v>
      </c>
      <c r="C23" s="26" t="e">
        <f>#REF!</f>
        <v>#REF!</v>
      </c>
      <c r="D23" s="26"/>
      <c r="E23" s="26"/>
    </row>
    <row r="24" spans="1:6" x14ac:dyDescent="0.25">
      <c r="A24" s="26" t="e">
        <f>IF(#REF!="","",#REF!)</f>
        <v>#REF!</v>
      </c>
      <c r="B24" s="26" t="e">
        <f>#REF!</f>
        <v>#REF!</v>
      </c>
      <c r="C24" s="26" t="e">
        <f>#REF!</f>
        <v>#REF!</v>
      </c>
      <c r="D24" s="26"/>
      <c r="E24" s="26"/>
    </row>
    <row r="25" spans="1:6" x14ac:dyDescent="0.25">
      <c r="A25" s="52" t="s">
        <v>104</v>
      </c>
      <c r="B25" s="52"/>
      <c r="C25" s="52"/>
      <c r="D25" s="52"/>
      <c r="E25" s="49"/>
    </row>
  </sheetData>
  <mergeCells count="2">
    <mergeCell ref="AB16:AE16"/>
    <mergeCell ref="AG7:AJ7"/>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Q60"/>
  <sheetViews>
    <sheetView workbookViewId="0">
      <selection activeCell="E22" sqref="E22"/>
    </sheetView>
  </sheetViews>
  <sheetFormatPr defaultRowHeight="15" x14ac:dyDescent="0.25"/>
  <cols>
    <col min="1" max="6" width="20" customWidth="1"/>
    <col min="7" max="7" width="20.7109375" customWidth="1"/>
    <col min="8" max="8" width="36.85546875" customWidth="1"/>
    <col min="9" max="9" width="35.28515625" customWidth="1"/>
    <col min="10" max="10" width="20.28515625" bestFit="1" customWidth="1"/>
    <col min="11" max="11" width="22.5703125" bestFit="1" customWidth="1"/>
    <col min="13" max="13" width="26.5703125" customWidth="1"/>
  </cols>
  <sheetData>
    <row r="1" spans="1:17" x14ac:dyDescent="0.25">
      <c r="A1" s="118" t="s">
        <v>173</v>
      </c>
    </row>
    <row r="3" spans="1:17" x14ac:dyDescent="0.25">
      <c r="A3" s="685" t="s">
        <v>201</v>
      </c>
      <c r="B3" s="689" t="s">
        <v>35</v>
      </c>
      <c r="C3" s="689" t="s">
        <v>292</v>
      </c>
      <c r="D3" s="685" t="s">
        <v>293</v>
      </c>
      <c r="E3" s="685"/>
      <c r="F3" s="685"/>
    </row>
    <row r="4" spans="1:17" x14ac:dyDescent="0.25">
      <c r="A4" s="685"/>
      <c r="B4" s="689"/>
      <c r="C4" s="689"/>
      <c r="D4" s="119" t="s">
        <v>214</v>
      </c>
      <c r="E4" s="119" t="s">
        <v>213</v>
      </c>
      <c r="F4" s="119" t="s">
        <v>215</v>
      </c>
      <c r="I4" s="2" t="s">
        <v>307</v>
      </c>
      <c r="J4" s="147" t="s">
        <v>275</v>
      </c>
      <c r="K4" s="124" t="s">
        <v>273</v>
      </c>
      <c r="L4" s="124"/>
      <c r="M4" s="124" t="s">
        <v>274</v>
      </c>
      <c r="N4" s="124"/>
      <c r="O4" s="124"/>
      <c r="P4" s="124"/>
    </row>
    <row r="5" spans="1:17" x14ac:dyDescent="0.25">
      <c r="A5" s="685"/>
      <c r="B5" s="689"/>
      <c r="C5" s="689"/>
      <c r="D5" s="119" t="s">
        <v>185</v>
      </c>
      <c r="E5" s="119" t="s">
        <v>186</v>
      </c>
      <c r="F5" s="119" t="s">
        <v>187</v>
      </c>
      <c r="H5" s="124"/>
      <c r="I5" s="129"/>
      <c r="J5" s="130" t="s">
        <v>236</v>
      </c>
      <c r="K5" s="130" t="s">
        <v>243</v>
      </c>
      <c r="L5" s="130" t="s">
        <v>245</v>
      </c>
      <c r="M5" s="130" t="s">
        <v>244</v>
      </c>
      <c r="N5" s="130" t="str">
        <f>D5</f>
        <v>t CO2-e/t</v>
      </c>
      <c r="O5" s="130" t="str">
        <f>E5</f>
        <v>GJ LHV/t</v>
      </c>
      <c r="P5" s="130" t="str">
        <f>F5</f>
        <v>kL/t</v>
      </c>
      <c r="Q5" s="124"/>
    </row>
    <row r="6" spans="1:17" x14ac:dyDescent="0.25">
      <c r="A6" s="120" t="s">
        <v>174</v>
      </c>
      <c r="B6" s="121"/>
      <c r="C6" s="121"/>
      <c r="D6" s="122"/>
      <c r="E6" s="122"/>
      <c r="F6" s="122"/>
      <c r="H6" s="124"/>
      <c r="I6" s="129" t="s">
        <v>88</v>
      </c>
      <c r="J6" s="129">
        <v>101.22</v>
      </c>
      <c r="K6" s="138">
        <f>J6/$J$12</f>
        <v>0.23929643726802055</v>
      </c>
      <c r="L6" s="129">
        <f>J6-(J6*$J$14)</f>
        <v>91.097999999999999</v>
      </c>
      <c r="M6" s="138">
        <f t="shared" ref="M6:M11" si="0">L6/$L$12</f>
        <v>0.21536679354121846</v>
      </c>
      <c r="N6" s="136">
        <f>D$38*$M6</f>
        <v>0.11371366698976335</v>
      </c>
      <c r="O6" s="136">
        <f>E$38*$M6</f>
        <v>0.95709003049717478</v>
      </c>
      <c r="P6" s="136">
        <f>F$38*$M6</f>
        <v>0.20050648478687438</v>
      </c>
      <c r="Q6" s="124"/>
    </row>
    <row r="7" spans="1:17" x14ac:dyDescent="0.25">
      <c r="A7" s="122">
        <v>1</v>
      </c>
      <c r="B7" s="121" t="s">
        <v>189</v>
      </c>
      <c r="C7" s="121"/>
      <c r="D7" s="122">
        <v>0.03</v>
      </c>
      <c r="E7" s="122">
        <v>2.38</v>
      </c>
      <c r="F7" s="122">
        <v>0.88</v>
      </c>
      <c r="H7" s="124"/>
      <c r="I7" s="129" t="s">
        <v>237</v>
      </c>
      <c r="J7" s="129">
        <v>194.68</v>
      </c>
      <c r="K7" s="138">
        <f>J7/$J$12</f>
        <v>0.46024728716990954</v>
      </c>
      <c r="L7" s="129">
        <f>J7-(J7*$J$14)</f>
        <v>175.21199999999999</v>
      </c>
      <c r="M7" s="138">
        <f t="shared" si="0"/>
        <v>0.4142225584529185</v>
      </c>
      <c r="N7" s="136">
        <f>D$14*$M7</f>
        <v>6.903847381734793</v>
      </c>
      <c r="O7" s="136">
        <f>E$14*$M7</f>
        <v>85.606133487789307</v>
      </c>
      <c r="P7" s="136">
        <f>F$14*$M7</f>
        <v>12.150390307099459</v>
      </c>
      <c r="Q7" s="124"/>
    </row>
    <row r="8" spans="1:17" x14ac:dyDescent="0.25">
      <c r="A8" s="122">
        <v>2</v>
      </c>
      <c r="B8" s="121" t="s">
        <v>175</v>
      </c>
      <c r="C8" s="121"/>
      <c r="D8" s="122">
        <v>0.02</v>
      </c>
      <c r="E8" s="122">
        <v>0.28000000000000003</v>
      </c>
      <c r="F8" s="122">
        <v>1.26</v>
      </c>
      <c r="H8" s="124"/>
      <c r="I8" s="129" t="s">
        <v>238</v>
      </c>
      <c r="J8" s="129">
        <v>95.45</v>
      </c>
      <c r="K8" s="138">
        <f>J8/$J$12</f>
        <v>0.22565545284758509</v>
      </c>
      <c r="L8" s="129">
        <f>J8-(J8*$J$14)</f>
        <v>85.905000000000001</v>
      </c>
      <c r="M8" s="138">
        <f t="shared" si="0"/>
        <v>0.20308990756282655</v>
      </c>
      <c r="N8" s="136">
        <f>D$30*$M8</f>
        <v>0.24370788907539184</v>
      </c>
      <c r="O8" s="136">
        <f>E$30*$M8</f>
        <v>11.16994491595546</v>
      </c>
      <c r="P8" s="136">
        <f>F$30*$M8</f>
        <v>13.962431144944325</v>
      </c>
      <c r="Q8" s="124"/>
    </row>
    <row r="9" spans="1:17" x14ac:dyDescent="0.25">
      <c r="A9" s="122">
        <v>3</v>
      </c>
      <c r="B9" s="121" t="s">
        <v>176</v>
      </c>
      <c r="C9" s="121"/>
      <c r="D9" s="122">
        <v>0.02</v>
      </c>
      <c r="E9" s="122">
        <v>0.35</v>
      </c>
      <c r="F9" s="122">
        <v>1.28</v>
      </c>
      <c r="H9" s="124"/>
      <c r="I9" s="129" t="s">
        <v>239</v>
      </c>
      <c r="J9" s="129">
        <v>26.21</v>
      </c>
      <c r="K9" s="138">
        <f>J9/$J$12</f>
        <v>6.1963639802359402E-2</v>
      </c>
      <c r="L9" s="129">
        <f>J9-(J9*$J$14)</f>
        <v>23.588999999999999</v>
      </c>
      <c r="M9" s="138">
        <f t="shared" si="0"/>
        <v>5.5767275822123451E-2</v>
      </c>
      <c r="N9" s="136">
        <f>D$24*$M9</f>
        <v>9.4246696139388634E-3</v>
      </c>
      <c r="O9" s="136">
        <f>E$24*$M9</f>
        <v>2.6043317808931654E-2</v>
      </c>
      <c r="P9" s="136">
        <f>F$24*$M9</f>
        <v>0.61963020165961369</v>
      </c>
      <c r="Q9" s="124"/>
    </row>
    <row r="10" spans="1:17" x14ac:dyDescent="0.25">
      <c r="A10" s="122">
        <v>4</v>
      </c>
      <c r="B10" s="121" t="s">
        <v>177</v>
      </c>
      <c r="C10" s="121"/>
      <c r="D10" s="122">
        <v>0.03</v>
      </c>
      <c r="E10" s="122">
        <v>0.55000000000000004</v>
      </c>
      <c r="F10" s="122">
        <v>-0.03</v>
      </c>
      <c r="H10" s="124"/>
      <c r="I10" s="129" t="s">
        <v>240</v>
      </c>
      <c r="J10" s="129">
        <v>5.43</v>
      </c>
      <c r="K10" s="138">
        <f>J10/$J$12</f>
        <v>1.2837182912125582E-2</v>
      </c>
      <c r="L10" s="129">
        <f>J10-(J10*$J$14)</f>
        <v>4.8869999999999996</v>
      </c>
      <c r="M10" s="138">
        <f t="shared" si="0"/>
        <v>1.1553464620913024E-2</v>
      </c>
      <c r="N10" s="136">
        <f>D$31*$M10</f>
        <v>9.5316083122532445E-3</v>
      </c>
      <c r="O10" s="136">
        <f>E$31*$M10</f>
        <v>0.57767323104565116</v>
      </c>
      <c r="P10" s="136">
        <f>F$31*$M10</f>
        <v>0.26284132012577127</v>
      </c>
      <c r="Q10" s="124"/>
    </row>
    <row r="11" spans="1:17" x14ac:dyDescent="0.25">
      <c r="A11" s="122">
        <v>5</v>
      </c>
      <c r="B11" s="121" t="s">
        <v>202</v>
      </c>
      <c r="C11" s="121"/>
      <c r="D11" s="122">
        <v>8.7999999999999995E-2</v>
      </c>
      <c r="E11" s="122">
        <v>1.42</v>
      </c>
      <c r="F11" s="122">
        <v>0.44</v>
      </c>
      <c r="H11" s="124"/>
      <c r="I11" s="139" t="s">
        <v>241</v>
      </c>
      <c r="J11" s="136"/>
      <c r="K11" s="138"/>
      <c r="L11" s="129">
        <f>(J12*$J$14)</f>
        <v>42.298999999999999</v>
      </c>
      <c r="M11" s="138">
        <f t="shared" si="0"/>
        <v>9.9999999999999992E-2</v>
      </c>
      <c r="N11" s="136">
        <v>0</v>
      </c>
      <c r="O11" s="136">
        <v>0</v>
      </c>
      <c r="P11" s="136">
        <v>0</v>
      </c>
      <c r="Q11" s="124"/>
    </row>
    <row r="12" spans="1:17" x14ac:dyDescent="0.25">
      <c r="A12" s="120" t="s">
        <v>190</v>
      </c>
      <c r="B12" s="121"/>
      <c r="C12" s="121"/>
      <c r="D12" s="122"/>
      <c r="E12" s="122"/>
      <c r="F12" s="122"/>
      <c r="H12" s="124"/>
      <c r="I12" s="130" t="s">
        <v>12</v>
      </c>
      <c r="J12" s="130">
        <f>SUM(J6:J10)</f>
        <v>422.98999999999995</v>
      </c>
      <c r="K12" s="130"/>
      <c r="L12" s="139">
        <f>SUM(L6:L11)</f>
        <v>422.99</v>
      </c>
      <c r="M12" s="136" t="b">
        <f>L12=J12</f>
        <v>1</v>
      </c>
      <c r="N12" s="137">
        <f>SUM(N6:N11)</f>
        <v>7.2802252157261398</v>
      </c>
      <c r="O12" s="137">
        <f t="shared" ref="O12:P12" si="1">SUM(O6:O11)</f>
        <v>98.33688498309651</v>
      </c>
      <c r="P12" s="137">
        <f t="shared" si="1"/>
        <v>27.195799458616047</v>
      </c>
      <c r="Q12" s="124"/>
    </row>
    <row r="13" spans="1:17" x14ac:dyDescent="0.25">
      <c r="A13" s="122">
        <v>6</v>
      </c>
      <c r="B13" s="121" t="s">
        <v>178</v>
      </c>
      <c r="C13" s="156" t="s">
        <v>57</v>
      </c>
      <c r="D13" s="122">
        <v>0.44</v>
      </c>
      <c r="E13" s="122">
        <v>7.94</v>
      </c>
      <c r="F13" s="122">
        <v>2.36</v>
      </c>
      <c r="H13" s="124"/>
      <c r="I13" s="124"/>
      <c r="J13" s="124"/>
      <c r="K13" s="124"/>
      <c r="L13" s="133"/>
      <c r="M13" s="124"/>
      <c r="N13" s="124"/>
      <c r="O13" s="124"/>
      <c r="P13" s="124"/>
      <c r="Q13" s="124"/>
    </row>
    <row r="14" spans="1:17" x14ac:dyDescent="0.25">
      <c r="A14" s="122">
        <v>7</v>
      </c>
      <c r="B14" s="121" t="s">
        <v>191</v>
      </c>
      <c r="C14" s="121"/>
      <c r="D14" s="122">
        <v>16.667000000000002</v>
      </c>
      <c r="E14" s="122">
        <v>206.667</v>
      </c>
      <c r="F14" s="122">
        <v>29.332999999999998</v>
      </c>
      <c r="H14" s="124"/>
      <c r="I14" s="134" t="s">
        <v>241</v>
      </c>
      <c r="J14" s="135">
        <v>0.1</v>
      </c>
      <c r="K14" s="124"/>
      <c r="L14" s="124"/>
      <c r="M14" s="124"/>
      <c r="N14" s="124"/>
      <c r="O14" s="124"/>
      <c r="P14" s="124"/>
      <c r="Q14" s="124"/>
    </row>
    <row r="15" spans="1:17" x14ac:dyDescent="0.25">
      <c r="A15" s="122">
        <v>8</v>
      </c>
      <c r="B15" s="121" t="s">
        <v>192</v>
      </c>
      <c r="D15" s="122">
        <v>0.88</v>
      </c>
      <c r="E15" s="122">
        <v>36.090000000000003</v>
      </c>
      <c r="F15" s="122">
        <v>5.97</v>
      </c>
      <c r="H15" s="124"/>
      <c r="I15" s="124"/>
      <c r="J15" s="124"/>
      <c r="K15" s="124"/>
      <c r="L15" s="124"/>
      <c r="M15" s="124"/>
      <c r="N15" s="124"/>
      <c r="O15" s="124"/>
      <c r="P15" s="124"/>
      <c r="Q15" s="124"/>
    </row>
    <row r="16" spans="1:17" x14ac:dyDescent="0.25">
      <c r="A16" s="120" t="s">
        <v>193</v>
      </c>
      <c r="B16" s="121"/>
      <c r="C16" s="121"/>
      <c r="D16" s="122"/>
      <c r="E16" s="122"/>
      <c r="F16" s="122"/>
      <c r="H16" s="124"/>
      <c r="I16" s="132" t="s">
        <v>241</v>
      </c>
      <c r="J16" s="124">
        <f>SUM(J6:J10)*L16</f>
        <v>63.448499999999989</v>
      </c>
      <c r="K16" s="124"/>
      <c r="L16" s="131">
        <v>0.15</v>
      </c>
      <c r="M16" s="124"/>
      <c r="N16" s="124"/>
      <c r="O16" s="124"/>
      <c r="P16" s="124"/>
      <c r="Q16" s="124"/>
    </row>
    <row r="17" spans="1:17" x14ac:dyDescent="0.25">
      <c r="A17" s="122">
        <v>9</v>
      </c>
      <c r="B17" s="121" t="s">
        <v>203</v>
      </c>
      <c r="C17" t="s">
        <v>90</v>
      </c>
      <c r="D17" s="122">
        <v>0.25</v>
      </c>
      <c r="E17" s="122">
        <v>0.18</v>
      </c>
      <c r="F17" s="122">
        <v>0.44</v>
      </c>
      <c r="H17" s="124"/>
      <c r="K17" s="124"/>
      <c r="Q17" s="124"/>
    </row>
    <row r="18" spans="1:17" x14ac:dyDescent="0.25">
      <c r="A18" s="122">
        <v>10</v>
      </c>
      <c r="B18" s="121" t="s">
        <v>89</v>
      </c>
      <c r="C18" t="s">
        <v>89</v>
      </c>
      <c r="D18" s="122">
        <v>0.224</v>
      </c>
      <c r="E18" s="122">
        <v>-0.309</v>
      </c>
      <c r="F18" s="122">
        <v>5.5919999999999996</v>
      </c>
      <c r="H18" s="124"/>
      <c r="K18" s="124"/>
      <c r="Q18" s="124"/>
    </row>
    <row r="19" spans="1:17" x14ac:dyDescent="0.25">
      <c r="A19" s="122">
        <v>11</v>
      </c>
      <c r="B19" s="121" t="s">
        <v>179</v>
      </c>
      <c r="C19" t="s">
        <v>91</v>
      </c>
      <c r="D19" s="122">
        <v>1.35</v>
      </c>
      <c r="E19" s="122">
        <v>10.73</v>
      </c>
      <c r="F19" s="122">
        <v>-0.04</v>
      </c>
      <c r="H19" s="124"/>
      <c r="I19" s="2" t="s">
        <v>3</v>
      </c>
      <c r="K19" s="124"/>
      <c r="Q19" s="124"/>
    </row>
    <row r="20" spans="1:17" x14ac:dyDescent="0.25">
      <c r="A20" s="122">
        <v>12</v>
      </c>
      <c r="B20" s="121" t="s">
        <v>194</v>
      </c>
      <c r="C20" s="121"/>
      <c r="D20" s="122">
        <v>0.48099999999999998</v>
      </c>
      <c r="E20" s="122">
        <v>2.165</v>
      </c>
      <c r="F20" s="122">
        <v>0.23</v>
      </c>
      <c r="I20" s="121" t="s">
        <v>88</v>
      </c>
      <c r="J20" s="129"/>
      <c r="K20" s="138">
        <f>K6*SUM($L$35:$L$36)</f>
        <v>0.13844781287496213</v>
      </c>
      <c r="L20" s="129"/>
      <c r="M20" s="138"/>
      <c r="N20" s="136">
        <f>D$38*$K20</f>
        <v>7.3100445197980007E-2</v>
      </c>
      <c r="O20" s="136">
        <f t="shared" ref="O20:P20" si="2">E$38*$K20</f>
        <v>0.61526208041633168</v>
      </c>
      <c r="P20" s="136">
        <f t="shared" si="2"/>
        <v>0.12889491378658977</v>
      </c>
    </row>
    <row r="21" spans="1:17" x14ac:dyDescent="0.25">
      <c r="A21" s="120" t="s">
        <v>180</v>
      </c>
      <c r="B21" s="121"/>
      <c r="C21" s="121"/>
      <c r="D21" s="122"/>
      <c r="E21" s="122"/>
      <c r="F21" s="122"/>
      <c r="I21" s="121" t="s">
        <v>191</v>
      </c>
      <c r="J21" s="129"/>
      <c r="K21" s="138">
        <f>K7*SUM($L$35:$L$36)</f>
        <v>0.26628156698772604</v>
      </c>
      <c r="L21" s="129"/>
      <c r="M21" s="138"/>
      <c r="N21" s="136">
        <f>D$14*$K21</f>
        <v>4.4381148769844305</v>
      </c>
      <c r="O21" s="136">
        <f t="shared" ref="O21:P21" si="3">E$14*$K21</f>
        <v>55.031612604652381</v>
      </c>
      <c r="P21" s="136">
        <f t="shared" si="3"/>
        <v>7.8108372044509675</v>
      </c>
    </row>
    <row r="22" spans="1:17" x14ac:dyDescent="0.25">
      <c r="A22" s="122">
        <v>13</v>
      </c>
      <c r="B22" s="121" t="s">
        <v>195</v>
      </c>
      <c r="C22" t="s">
        <v>87</v>
      </c>
      <c r="D22" s="122">
        <v>0.16900000000000001</v>
      </c>
      <c r="E22" s="122">
        <v>0.46700000000000003</v>
      </c>
      <c r="F22" s="122">
        <v>11.111000000000001</v>
      </c>
      <c r="I22" s="121" t="s">
        <v>197</v>
      </c>
      <c r="J22" s="129"/>
      <c r="K22" s="138">
        <f>K8*SUM($L$35:$L$36)</f>
        <v>0.1305556583571936</v>
      </c>
      <c r="L22" s="129"/>
      <c r="M22" s="138"/>
      <c r="N22" s="136">
        <f>D$30*$K22</f>
        <v>0.15666679002863232</v>
      </c>
      <c r="O22" s="136">
        <f t="shared" ref="O22:P22" si="4">E$30*$K22</f>
        <v>7.1805612096456484</v>
      </c>
      <c r="P22" s="136">
        <f t="shared" si="4"/>
        <v>8.9757015120570607</v>
      </c>
    </row>
    <row r="23" spans="1:17" x14ac:dyDescent="0.25">
      <c r="A23" s="122"/>
      <c r="B23" s="121"/>
      <c r="C23" t="s">
        <v>0</v>
      </c>
      <c r="D23" s="122">
        <v>0.16900000000000001</v>
      </c>
      <c r="E23" s="122">
        <v>0.46700000000000003</v>
      </c>
      <c r="F23" s="122">
        <v>11.111000000000001</v>
      </c>
      <c r="I23" s="121" t="s">
        <v>204</v>
      </c>
      <c r="J23" s="129"/>
      <c r="K23" s="138">
        <f>K9*SUM($L$35:$L$36)</f>
        <v>3.5849804143971133E-2</v>
      </c>
      <c r="L23" s="129"/>
      <c r="M23" s="138"/>
      <c r="N23" s="136">
        <f>D$24*$K23</f>
        <v>6.0586169003311215E-3</v>
      </c>
      <c r="O23" s="136">
        <f t="shared" ref="O23:P23" si="5">E$24*$K23</f>
        <v>1.6741858535234518E-2</v>
      </c>
      <c r="P23" s="136">
        <f t="shared" si="5"/>
        <v>0.39832717384366328</v>
      </c>
    </row>
    <row r="24" spans="1:17" x14ac:dyDescent="0.25">
      <c r="A24" s="122">
        <v>14</v>
      </c>
      <c r="B24" s="121" t="s">
        <v>204</v>
      </c>
      <c r="C24" t="s">
        <v>72</v>
      </c>
      <c r="D24" s="122">
        <v>0.16900000000000001</v>
      </c>
      <c r="E24" s="122">
        <v>0.46700000000000003</v>
      </c>
      <c r="F24" s="122">
        <v>11.111000000000001</v>
      </c>
      <c r="I24" s="121" t="s">
        <v>209</v>
      </c>
      <c r="J24" s="129"/>
      <c r="K24" s="138">
        <f>K10*SUM($L$35:$L$36)+L39+L38</f>
        <v>5.0930240706310567E-2</v>
      </c>
      <c r="L24" s="129"/>
      <c r="M24" s="138"/>
      <c r="N24" s="136">
        <f>D$31*$K24</f>
        <v>4.2017448582706216E-2</v>
      </c>
      <c r="O24" s="136">
        <f t="shared" ref="O24:P24" si="6">E$31*$K24</f>
        <v>2.5465120353155282</v>
      </c>
      <c r="P24" s="136">
        <f t="shared" si="6"/>
        <v>1.1586629760685654</v>
      </c>
    </row>
    <row r="25" spans="1:17" x14ac:dyDescent="0.25">
      <c r="A25" s="122">
        <v>15</v>
      </c>
      <c r="B25" s="121" t="s">
        <v>205</v>
      </c>
      <c r="C25" s="121"/>
      <c r="D25" s="122">
        <v>0.45500000000000002</v>
      </c>
      <c r="E25" s="122">
        <v>0.36399999999999999</v>
      </c>
      <c r="F25" s="122">
        <v>10.909000000000001</v>
      </c>
      <c r="I25" s="121" t="s">
        <v>195</v>
      </c>
      <c r="K25" s="23">
        <f>L34</f>
        <v>9.7395761819762922E-2</v>
      </c>
      <c r="N25" s="136">
        <f>D$24*$K25</f>
        <v>1.6459883747539934E-2</v>
      </c>
      <c r="O25" s="136">
        <f t="shared" ref="O25:P25" si="7">E$24*$K25</f>
        <v>4.5483820769829285E-2</v>
      </c>
      <c r="P25" s="136">
        <f t="shared" si="7"/>
        <v>1.0821643095793858</v>
      </c>
    </row>
    <row r="26" spans="1:17" x14ac:dyDescent="0.25">
      <c r="A26" s="122">
        <v>16</v>
      </c>
      <c r="B26" s="121" t="s">
        <v>206</v>
      </c>
      <c r="C26" s="121"/>
      <c r="D26" s="122">
        <v>0.45500000000000002</v>
      </c>
      <c r="E26" s="122">
        <v>0.36399999999999999</v>
      </c>
      <c r="F26" s="122">
        <v>10.909000000000001</v>
      </c>
      <c r="I26" s="144" t="s">
        <v>241</v>
      </c>
      <c r="J26" s="142"/>
      <c r="K26" s="145">
        <f>L37+L52</f>
        <v>0.28053915511007366</v>
      </c>
    </row>
    <row r="27" spans="1:17" x14ac:dyDescent="0.25">
      <c r="A27" s="122">
        <v>17</v>
      </c>
      <c r="B27" s="121" t="s">
        <v>207</v>
      </c>
      <c r="C27" s="121"/>
      <c r="D27" s="122">
        <v>0.45500000000000002</v>
      </c>
      <c r="E27" s="122">
        <v>0.36399999999999999</v>
      </c>
      <c r="F27" s="122">
        <v>10.909000000000001</v>
      </c>
      <c r="I27" s="130" t="s">
        <v>12</v>
      </c>
      <c r="J27" s="130"/>
      <c r="K27" s="146">
        <f>SUM(K20:K26)</f>
        <v>1</v>
      </c>
      <c r="L27" s="139"/>
      <c r="M27" s="136" t="b">
        <f>L27=J27</f>
        <v>1</v>
      </c>
      <c r="N27" s="137">
        <f>SUM(N20:N26)</f>
        <v>4.7324180614416207</v>
      </c>
      <c r="O27" s="137">
        <f>SUM(O20:O26)</f>
        <v>65.436173609334944</v>
      </c>
      <c r="P27" s="137">
        <f>SUM(P20:P26)</f>
        <v>19.554588089786236</v>
      </c>
    </row>
    <row r="28" spans="1:17" x14ac:dyDescent="0.25">
      <c r="A28" s="122">
        <v>18</v>
      </c>
      <c r="B28" s="121" t="s">
        <v>208</v>
      </c>
      <c r="C28" t="s">
        <v>86</v>
      </c>
      <c r="D28" s="122">
        <v>1.3</v>
      </c>
      <c r="E28" s="122">
        <v>-0.68</v>
      </c>
      <c r="F28" s="122">
        <v>11</v>
      </c>
    </row>
    <row r="29" spans="1:17" x14ac:dyDescent="0.25">
      <c r="A29" s="120" t="s">
        <v>196</v>
      </c>
      <c r="B29" s="121"/>
      <c r="C29" s="121"/>
      <c r="D29" s="122"/>
      <c r="E29" s="122"/>
      <c r="F29" s="122"/>
    </row>
    <row r="30" spans="1:17" x14ac:dyDescent="0.25">
      <c r="A30" s="122">
        <v>19</v>
      </c>
      <c r="B30" s="121" t="s">
        <v>197</v>
      </c>
      <c r="C30" s="121"/>
      <c r="D30" s="122">
        <v>1.2</v>
      </c>
      <c r="E30" s="122">
        <v>55</v>
      </c>
      <c r="F30" s="122">
        <v>68.75</v>
      </c>
    </row>
    <row r="31" spans="1:17" x14ac:dyDescent="0.25">
      <c r="A31" s="122">
        <v>20</v>
      </c>
      <c r="B31" s="121" t="s">
        <v>209</v>
      </c>
      <c r="C31" s="121"/>
      <c r="D31" s="122">
        <v>0.82499999999999996</v>
      </c>
      <c r="E31" s="122">
        <v>50</v>
      </c>
      <c r="F31" s="122">
        <v>22.75</v>
      </c>
    </row>
    <row r="32" spans="1:17" x14ac:dyDescent="0.25">
      <c r="A32" s="122">
        <v>21</v>
      </c>
      <c r="B32" s="121" t="s">
        <v>198</v>
      </c>
      <c r="C32" s="121"/>
      <c r="D32" s="122">
        <v>0.313</v>
      </c>
      <c r="E32" s="122">
        <v>30</v>
      </c>
      <c r="F32" s="122">
        <v>26.25</v>
      </c>
      <c r="I32" s="2" t="s">
        <v>277</v>
      </c>
    </row>
    <row r="33" spans="1:12" x14ac:dyDescent="0.25">
      <c r="A33" s="122">
        <v>22</v>
      </c>
      <c r="B33" s="121" t="s">
        <v>181</v>
      </c>
      <c r="C33" t="s">
        <v>71</v>
      </c>
      <c r="D33" s="122">
        <v>0.82499999999999996</v>
      </c>
      <c r="E33" s="122">
        <v>50</v>
      </c>
      <c r="F33" s="122">
        <v>22.75</v>
      </c>
      <c r="I33" t="s">
        <v>250</v>
      </c>
      <c r="K33" t="s">
        <v>251</v>
      </c>
      <c r="L33" t="s">
        <v>252</v>
      </c>
    </row>
    <row r="34" spans="1:12" x14ac:dyDescent="0.25">
      <c r="A34" s="122">
        <v>23</v>
      </c>
      <c r="B34" s="121" t="s">
        <v>182</v>
      </c>
      <c r="C34" s="121"/>
      <c r="D34" s="122">
        <v>0.313</v>
      </c>
      <c r="E34" s="122">
        <v>30</v>
      </c>
      <c r="F34" s="122">
        <v>26.25</v>
      </c>
      <c r="I34" t="s">
        <v>253</v>
      </c>
      <c r="J34" t="s">
        <v>254</v>
      </c>
      <c r="K34">
        <v>4.2560000000000002</v>
      </c>
      <c r="L34" s="3">
        <v>9.7395761819762922E-2</v>
      </c>
    </row>
    <row r="35" spans="1:12" x14ac:dyDescent="0.25">
      <c r="A35" s="122">
        <v>24</v>
      </c>
      <c r="B35" s="121" t="s">
        <v>85</v>
      </c>
      <c r="C35" t="s">
        <v>85</v>
      </c>
      <c r="D35" s="122">
        <v>0.313</v>
      </c>
      <c r="E35" s="122">
        <v>30</v>
      </c>
      <c r="F35" s="122">
        <v>26.25</v>
      </c>
      <c r="J35" t="s">
        <v>255</v>
      </c>
      <c r="K35">
        <v>7.4820000000000002</v>
      </c>
      <c r="L35" s="3">
        <v>0.17122065083070162</v>
      </c>
    </row>
    <row r="36" spans="1:12" x14ac:dyDescent="0.25">
      <c r="A36" s="122">
        <v>25</v>
      </c>
      <c r="B36" s="121" t="s">
        <v>210</v>
      </c>
      <c r="C36" t="s">
        <v>80</v>
      </c>
      <c r="D36" s="122">
        <v>0.313</v>
      </c>
      <c r="E36" s="122">
        <v>30</v>
      </c>
      <c r="F36" s="122">
        <v>26.25</v>
      </c>
      <c r="J36" t="s">
        <v>256</v>
      </c>
      <c r="K36">
        <v>17.8</v>
      </c>
      <c r="L36" s="3">
        <v>0.40734129708453476</v>
      </c>
    </row>
    <row r="37" spans="1:12" ht="14.25" customHeight="1" x14ac:dyDescent="0.25">
      <c r="A37" s="120" t="s">
        <v>199</v>
      </c>
      <c r="B37" s="121"/>
      <c r="C37" s="121"/>
      <c r="D37" s="122"/>
      <c r="E37" s="122"/>
      <c r="F37" s="122"/>
      <c r="J37" s="142" t="s">
        <v>257</v>
      </c>
      <c r="K37" s="142">
        <v>4.7</v>
      </c>
      <c r="L37" s="143">
        <v>0.10755640990434345</v>
      </c>
    </row>
    <row r="38" spans="1:12" x14ac:dyDescent="0.25">
      <c r="A38" s="122">
        <v>26</v>
      </c>
      <c r="B38" s="121" t="s">
        <v>88</v>
      </c>
      <c r="C38" t="s">
        <v>88</v>
      </c>
      <c r="D38" s="122">
        <v>0.52800000000000002</v>
      </c>
      <c r="E38" s="122">
        <v>4.444</v>
      </c>
      <c r="F38" s="122">
        <v>0.93100000000000005</v>
      </c>
      <c r="J38" t="s">
        <v>258</v>
      </c>
      <c r="K38">
        <v>1.548</v>
      </c>
      <c r="L38" s="3">
        <v>3.5424962240834822E-2</v>
      </c>
    </row>
    <row r="39" spans="1:12" x14ac:dyDescent="0.25">
      <c r="A39" s="168" t="s">
        <v>200</v>
      </c>
      <c r="B39" s="169"/>
      <c r="C39" s="169"/>
      <c r="D39" s="170"/>
      <c r="E39" s="170"/>
      <c r="F39" s="170"/>
      <c r="J39" t="s">
        <v>290</v>
      </c>
      <c r="K39">
        <v>0.35299999999999998</v>
      </c>
      <c r="L39" s="3">
        <v>8.0781729140921785E-3</v>
      </c>
    </row>
    <row r="40" spans="1:12" x14ac:dyDescent="0.25">
      <c r="A40" s="122">
        <v>27</v>
      </c>
      <c r="B40" s="121" t="s">
        <v>183</v>
      </c>
      <c r="C40" s="121"/>
      <c r="D40" s="122">
        <v>2.9000000000000001E-2</v>
      </c>
      <c r="E40" s="122">
        <v>0.55200000000000005</v>
      </c>
      <c r="F40" s="122">
        <v>1.26</v>
      </c>
      <c r="I40" t="s">
        <v>259</v>
      </c>
      <c r="J40" s="142" t="s">
        <v>260</v>
      </c>
      <c r="K40" s="142">
        <v>0</v>
      </c>
      <c r="L40" s="143">
        <v>0</v>
      </c>
    </row>
    <row r="41" spans="1:12" x14ac:dyDescent="0.25">
      <c r="A41" s="122">
        <v>28</v>
      </c>
      <c r="B41" s="121" t="s">
        <v>184</v>
      </c>
      <c r="C41" s="121"/>
      <c r="D41" s="122" t="s">
        <v>188</v>
      </c>
      <c r="E41" s="122" t="s">
        <v>188</v>
      </c>
      <c r="F41" s="122" t="s">
        <v>188</v>
      </c>
      <c r="J41" s="142" t="s">
        <v>261</v>
      </c>
      <c r="K41" s="142">
        <v>6.0999999999999999E-2</v>
      </c>
      <c r="L41" s="143">
        <v>1.3959448945031808E-3</v>
      </c>
    </row>
    <row r="42" spans="1:12" x14ac:dyDescent="0.25">
      <c r="A42" s="122">
        <v>29</v>
      </c>
      <c r="B42" s="121" t="s">
        <v>211</v>
      </c>
      <c r="C42" s="121"/>
      <c r="D42" s="122" t="s">
        <v>188</v>
      </c>
      <c r="E42" s="122" t="s">
        <v>188</v>
      </c>
      <c r="F42" s="122" t="s">
        <v>188</v>
      </c>
      <c r="J42" s="142" t="s">
        <v>85</v>
      </c>
      <c r="K42" s="142">
        <v>4.2000000000000003E-2</v>
      </c>
      <c r="L42" s="143">
        <v>9.6114238637923937E-4</v>
      </c>
    </row>
    <row r="43" spans="1:12" ht="14.25" customHeight="1" x14ac:dyDescent="0.25">
      <c r="A43" s="122">
        <v>30</v>
      </c>
      <c r="B43" s="121" t="s">
        <v>212</v>
      </c>
      <c r="C43" s="121"/>
      <c r="D43" s="122">
        <v>1.07</v>
      </c>
      <c r="E43" s="122">
        <v>64.08</v>
      </c>
      <c r="F43" s="122">
        <v>52.25</v>
      </c>
      <c r="J43" s="142" t="s">
        <v>262</v>
      </c>
      <c r="K43" s="142" t="s">
        <v>272</v>
      </c>
      <c r="L43" s="142" t="s">
        <v>272</v>
      </c>
    </row>
    <row r="44" spans="1:12" x14ac:dyDescent="0.25">
      <c r="A44" s="122">
        <v>31</v>
      </c>
      <c r="B44" s="121" t="s">
        <v>309</v>
      </c>
      <c r="C44" s="171" t="s">
        <v>307</v>
      </c>
      <c r="D44" s="172">
        <f>N12</f>
        <v>7.2802252157261398</v>
      </c>
      <c r="E44" s="172">
        <f t="shared" ref="E44:F44" si="8">O12</f>
        <v>98.33688498309651</v>
      </c>
      <c r="F44" s="172">
        <f t="shared" si="8"/>
        <v>27.195799458616047</v>
      </c>
      <c r="J44" s="142" t="s">
        <v>263</v>
      </c>
      <c r="K44" s="142">
        <v>0</v>
      </c>
      <c r="L44" s="143">
        <v>0</v>
      </c>
    </row>
    <row r="45" spans="1:12" x14ac:dyDescent="0.25">
      <c r="A45" s="122">
        <v>32</v>
      </c>
      <c r="B45" s="121" t="s">
        <v>276</v>
      </c>
      <c r="C45" s="171" t="s">
        <v>3</v>
      </c>
      <c r="D45" s="172">
        <f>N27</f>
        <v>4.7324180614416207</v>
      </c>
      <c r="E45" s="172">
        <f t="shared" ref="E45:F45" si="9">O27</f>
        <v>65.436173609334944</v>
      </c>
      <c r="F45" s="172">
        <f t="shared" si="9"/>
        <v>19.554588089786236</v>
      </c>
      <c r="J45" s="142" t="s">
        <v>264</v>
      </c>
      <c r="K45" s="142">
        <v>0</v>
      </c>
      <c r="L45" s="143">
        <v>0</v>
      </c>
    </row>
    <row r="46" spans="1:12" ht="40.9" customHeight="1" thickBot="1" x14ac:dyDescent="0.3">
      <c r="J46" s="142" t="s">
        <v>265</v>
      </c>
      <c r="K46" s="142">
        <v>0</v>
      </c>
      <c r="L46" s="143">
        <v>0</v>
      </c>
    </row>
    <row r="47" spans="1:12" ht="14.25" customHeight="1" x14ac:dyDescent="0.25">
      <c r="A47" s="686" t="s">
        <v>278</v>
      </c>
      <c r="B47" s="694" t="s">
        <v>226</v>
      </c>
      <c r="C47" s="694"/>
      <c r="D47" s="125">
        <v>1.49</v>
      </c>
      <c r="E47" s="152" t="s">
        <v>227</v>
      </c>
      <c r="F47" s="150"/>
      <c r="G47" s="150"/>
      <c r="J47" s="142" t="s">
        <v>266</v>
      </c>
      <c r="K47" s="142">
        <v>0.435</v>
      </c>
      <c r="L47" s="143">
        <v>9.9546890017849794E-3</v>
      </c>
    </row>
    <row r="48" spans="1:12" ht="14.65" customHeight="1" thickBot="1" x14ac:dyDescent="0.3">
      <c r="A48" s="687"/>
      <c r="B48" s="695" t="s">
        <v>228</v>
      </c>
      <c r="C48" s="695"/>
      <c r="D48" s="126">
        <v>0.23</v>
      </c>
      <c r="E48" s="153" t="s">
        <v>229</v>
      </c>
      <c r="F48" s="151"/>
      <c r="G48" s="151"/>
      <c r="J48" s="142" t="s">
        <v>267</v>
      </c>
      <c r="K48" s="142">
        <v>3.621</v>
      </c>
      <c r="L48" s="143">
        <v>8.2864204311410131E-2</v>
      </c>
    </row>
    <row r="49" spans="1:12" ht="14.25" customHeight="1" x14ac:dyDescent="0.25">
      <c r="A49" s="690" t="s">
        <v>279</v>
      </c>
      <c r="B49" s="692" t="s">
        <v>230</v>
      </c>
      <c r="C49" s="692"/>
      <c r="D49" s="125">
        <v>1.9455252918287935E-2</v>
      </c>
      <c r="E49" s="154" t="s">
        <v>299</v>
      </c>
      <c r="F49" s="148"/>
      <c r="G49" s="148"/>
      <c r="J49" s="142" t="s">
        <v>268</v>
      </c>
      <c r="K49" s="142">
        <v>3.4</v>
      </c>
      <c r="L49" s="143">
        <v>7.7806764611652701E-2</v>
      </c>
    </row>
    <row r="50" spans="1:12" ht="14.65" customHeight="1" thickBot="1" x14ac:dyDescent="0.3">
      <c r="A50" s="691"/>
      <c r="B50" s="693" t="s">
        <v>231</v>
      </c>
      <c r="C50" s="693"/>
      <c r="D50" s="126">
        <v>0.17543859649122806</v>
      </c>
      <c r="E50" s="155" t="s">
        <v>300</v>
      </c>
      <c r="F50" s="149"/>
      <c r="G50" s="149"/>
      <c r="J50" t="s">
        <v>269</v>
      </c>
      <c r="K50">
        <v>43.698000000000008</v>
      </c>
      <c r="L50" s="3">
        <v>1</v>
      </c>
    </row>
    <row r="51" spans="1:12" ht="14.25" customHeight="1" x14ac:dyDescent="0.25">
      <c r="A51" s="690" t="s">
        <v>280</v>
      </c>
      <c r="B51" s="692" t="s">
        <v>232</v>
      </c>
      <c r="C51" s="692"/>
      <c r="D51" s="125">
        <v>5.2630000000000003E-3</v>
      </c>
      <c r="E51" s="154" t="s">
        <v>301</v>
      </c>
      <c r="F51" s="148"/>
      <c r="G51" s="148"/>
      <c r="J51" t="s">
        <v>270</v>
      </c>
      <c r="K51">
        <v>36.139000000000003</v>
      </c>
      <c r="L51" s="3">
        <v>0.8270172547942698</v>
      </c>
    </row>
    <row r="52" spans="1:12" ht="14.65" customHeight="1" thickBot="1" x14ac:dyDescent="0.3">
      <c r="A52" s="691"/>
      <c r="B52" s="693" t="s">
        <v>233</v>
      </c>
      <c r="C52" s="693"/>
      <c r="D52" s="126">
        <v>4.0000000000000002E-4</v>
      </c>
      <c r="E52" s="155" t="s">
        <v>302</v>
      </c>
      <c r="F52" s="149"/>
      <c r="G52" s="149"/>
      <c r="J52" t="s">
        <v>271</v>
      </c>
      <c r="K52">
        <v>7.5589999999999993</v>
      </c>
      <c r="L52" s="3">
        <v>0.17298274520573023</v>
      </c>
    </row>
    <row r="53" spans="1:12" x14ac:dyDescent="0.25">
      <c r="A53" s="127"/>
      <c r="B53" s="127"/>
      <c r="C53" s="127"/>
      <c r="D53" s="128"/>
      <c r="E53" s="123"/>
      <c r="F53" s="123"/>
      <c r="G53" s="123"/>
      <c r="H53" s="123"/>
    </row>
    <row r="54" spans="1:12" x14ac:dyDescent="0.25">
      <c r="A54" s="688" t="s">
        <v>234</v>
      </c>
      <c r="B54" s="688"/>
      <c r="C54" s="688"/>
      <c r="D54" s="688"/>
      <c r="E54" s="688"/>
      <c r="F54" s="688"/>
      <c r="G54" s="688"/>
      <c r="H54" s="688"/>
    </row>
    <row r="56" spans="1:12" x14ac:dyDescent="0.25">
      <c r="A56">
        <v>1</v>
      </c>
      <c r="B56" t="s">
        <v>310</v>
      </c>
    </row>
    <row r="57" spans="1:12" x14ac:dyDescent="0.25">
      <c r="A57">
        <v>2</v>
      </c>
      <c r="B57" t="s">
        <v>281</v>
      </c>
    </row>
    <row r="58" spans="1:12" x14ac:dyDescent="0.25">
      <c r="A58">
        <v>3</v>
      </c>
      <c r="B58" t="s">
        <v>282</v>
      </c>
    </row>
    <row r="59" spans="1:12" x14ac:dyDescent="0.25">
      <c r="A59">
        <v>4</v>
      </c>
      <c r="B59" t="s">
        <v>283</v>
      </c>
    </row>
    <row r="60" spans="1:12" x14ac:dyDescent="0.25">
      <c r="A60">
        <v>5</v>
      </c>
      <c r="B60" t="s">
        <v>284</v>
      </c>
    </row>
  </sheetData>
  <mergeCells count="14">
    <mergeCell ref="D3:F3"/>
    <mergeCell ref="A47:A48"/>
    <mergeCell ref="A54:H54"/>
    <mergeCell ref="C3:C5"/>
    <mergeCell ref="A51:A52"/>
    <mergeCell ref="A49:A50"/>
    <mergeCell ref="B51:C51"/>
    <mergeCell ref="B52:C52"/>
    <mergeCell ref="A3:A5"/>
    <mergeCell ref="B47:C47"/>
    <mergeCell ref="B48:C48"/>
    <mergeCell ref="B49:C49"/>
    <mergeCell ref="B50:C50"/>
    <mergeCell ref="B3:B5"/>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A0F59724343E44409709E3E0688EC116" ma:contentTypeVersion="15" ma:contentTypeDescription="Create a new document." ma:contentTypeScope="" ma:versionID="4594ab5461b67bd2ede681aed4ef0284">
  <xsd:schema xmlns:xsd="http://www.w3.org/2001/XMLSchema" xmlns:xs="http://www.w3.org/2001/XMLSchema" xmlns:p="http://schemas.microsoft.com/office/2006/metadata/properties" xmlns:ns2="013ef601-58df-40e9-a5ec-e66aed11625b" xmlns:ns3="821ab64e-2cd8-47f9-aa11-8cd9fa442d06" targetNamespace="http://schemas.microsoft.com/office/2006/metadata/properties" ma:root="true" ma:fieldsID="2792063783117bd0cb653b792abc3911" ns2:_="" ns3:_="">
    <xsd:import namespace="013ef601-58df-40e9-a5ec-e66aed11625b"/>
    <xsd:import namespace="821ab64e-2cd8-47f9-aa11-8cd9fa442d06"/>
    <xsd:element name="properties">
      <xsd:complexType>
        <xsd:sequence>
          <xsd:element name="documentManagement">
            <xsd:complexType>
              <xsd:all>
                <xsd:element ref="ns2:SharedWithUsers" minOccurs="0"/>
                <xsd:element ref="ns2:SharingHintHash" minOccurs="0"/>
                <xsd:element ref="ns2:SharedWithDetails" minOccurs="0"/>
                <xsd:element ref="ns2:LastSharedByUser" minOccurs="0"/>
                <xsd:element ref="ns2:LastSharedByTime" minOccurs="0"/>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3:MediaServiceEventHashCode" minOccurs="0"/>
                <xsd:element ref="ns3:MediaServiceGenerationTim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13ef601-58df-40e9-a5ec-e66aed11625b"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9" nillable="true" ma:displayName="Sharing Hint Hash" ma:internalName="SharingHintHash" ma:readOnly="true">
      <xsd:simpleType>
        <xsd:restriction base="dms:Text"/>
      </xsd:simpleType>
    </xsd:element>
    <xsd:element name="SharedWithDetails" ma:index="10" nillable="true" ma:displayName="Shared With Details" ma:description="" ma:internalName="SharedWithDetails" ma:readOnly="true">
      <xsd:simpleType>
        <xsd:restriction base="dms:Note">
          <xsd:maxLength value="255"/>
        </xsd:restriction>
      </xsd:simpleType>
    </xsd:element>
    <xsd:element name="LastSharedByUser" ma:index="11" nillable="true" ma:displayName="Last Shared By User" ma:description="" ma:internalName="LastSharedByUser" ma:readOnly="true">
      <xsd:simpleType>
        <xsd:restriction base="dms:Note">
          <xsd:maxLength value="255"/>
        </xsd:restriction>
      </xsd:simpleType>
    </xsd:element>
    <xsd:element name="LastSharedByTime" ma:index="12"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821ab64e-2cd8-47f9-aa11-8cd9fa442d06" elementFormDefault="qualified">
    <xsd:import namespace="http://schemas.microsoft.com/office/2006/documentManagement/types"/>
    <xsd:import namespace="http://schemas.microsoft.com/office/infopath/2007/PartnerControls"/>
    <xsd:element name="MediaServiceMetadata" ma:index="13" nillable="true" ma:displayName="MediaServiceMetadata" ma:description="" ma:hidden="true" ma:internalName="MediaServiceMetadata" ma:readOnly="true">
      <xsd:simpleType>
        <xsd:restriction base="dms:Note"/>
      </xsd:simpleType>
    </xsd:element>
    <xsd:element name="MediaServiceFastMetadata" ma:index="14" nillable="true" ma:displayName="MediaServiceFastMetadata" ma:description="" ma:hidden="true" ma:internalName="MediaServiceFastMetadata" ma:readOnly="true">
      <xsd:simpleType>
        <xsd:restriction base="dms:Note"/>
      </xsd:simpleType>
    </xsd:element>
    <xsd:element name="MediaServiceDateTaken" ma:index="15" nillable="true" ma:displayName="MediaServiceDateTaken" ma:description="" ma:hidden="true" ma:internalName="MediaServiceDateTaken" ma:readOnly="true">
      <xsd:simpleType>
        <xsd:restriction base="dms:Text"/>
      </xsd:simpleType>
    </xsd:element>
    <xsd:element name="MediaServiceAutoTags" ma:index="16" nillable="true" ma:displayName="MediaServiceAutoTags" ma:description="" ma:internalName="MediaServiceAutoTags" ma:readOnly="true">
      <xsd:simpleType>
        <xsd:restriction base="dms:Text"/>
      </xsd:simpleType>
    </xsd:element>
    <xsd:element name="MediaServiceLocation" ma:index="17" nillable="true" ma:displayName="MediaServiceLocation" ma:description="" ma:internalName="MediaServiceLocation" ma:readOnly="true">
      <xsd:simpleType>
        <xsd:restriction base="dms:Text"/>
      </xsd:simpleType>
    </xsd:element>
    <xsd:element name="MediaServiceOCR" ma:index="18" nillable="true" ma:displayName="MediaServiceOCR" ma:internalName="MediaServiceOCR" ma:readOnly="true">
      <xsd:simpleType>
        <xsd:restriction base="dms:Note">
          <xsd:maxLength value="255"/>
        </xsd:restriction>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880A60D-15E3-4DC0-BB70-7DE1730CB1F8}">
  <ds:schemaRef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013ef601-58df-40e9-a5ec-e66aed11625b"/>
    <ds:schemaRef ds:uri="http://purl.org/dc/terms/"/>
    <ds:schemaRef ds:uri="821ab64e-2cd8-47f9-aa11-8cd9fa442d06"/>
    <ds:schemaRef ds:uri="http://www.w3.org/XML/1998/namespace"/>
  </ds:schemaRefs>
</ds:datastoreItem>
</file>

<file path=customXml/itemProps2.xml><?xml version="1.0" encoding="utf-8"?>
<ds:datastoreItem xmlns:ds="http://schemas.openxmlformats.org/officeDocument/2006/customXml" ds:itemID="{D0C10FD0-CBCF-475E-9EBB-644DDBB0B26D}">
  <ds:schemaRefs>
    <ds:schemaRef ds:uri="http://schemas.microsoft.com/sharepoint/v3/contenttype/forms"/>
  </ds:schemaRefs>
</ds:datastoreItem>
</file>

<file path=customXml/itemProps3.xml><?xml version="1.0" encoding="utf-8"?>
<ds:datastoreItem xmlns:ds="http://schemas.openxmlformats.org/officeDocument/2006/customXml" ds:itemID="{789BD110-1E9D-4CA7-ABBC-1220BCEB5FF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13ef601-58df-40e9-a5ec-e66aed11625b"/>
    <ds:schemaRef ds:uri="821ab64e-2cd8-47f9-aa11-8cd9fa442d0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Introduction</vt:lpstr>
      <vt:lpstr>Step 1 &amp; Step 2 Event Details</vt:lpstr>
      <vt:lpstr>Steps 3 Bin Selection</vt:lpstr>
      <vt:lpstr>Step 4 Environmental Savings</vt:lpstr>
      <vt:lpstr>Event Dataset</vt:lpstr>
      <vt:lpstr>Better practice vs typical</vt:lpstr>
      <vt:lpstr>Drop Downs and Assumptions</vt:lpstr>
      <vt:lpstr>Environmental Savings Factors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2022-11-29T04:57:56Z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0x010100A0F59724343E44409709E3E0688EC116</vt:lpwstr>
  </property>
</Properties>
</file>